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jas de Calculo\Mis Hojas de Calculo\Madera\"/>
    </mc:Choice>
  </mc:AlternateContent>
  <xr:revisionPtr revIDLastSave="0" documentId="13_ncr:1_{4B1F7AA7-77CE-4177-A5B3-0D959668F0D5}" xr6:coauthVersionLast="32" xr6:coauthVersionMax="32" xr10:uidLastSave="{00000000-0000-0000-0000-000000000000}"/>
  <bookViews>
    <workbookView xWindow="120" yWindow="165" windowWidth="20115" windowHeight="8445" activeTab="1" xr2:uid="{00000000-000D-0000-FFFF-FFFF00000000}"/>
  </bookViews>
  <sheets>
    <sheet name="Techos" sheetId="1" r:id="rId1"/>
    <sheet name="Viguetas" sheetId="4" r:id="rId2"/>
    <sheet name="Columnas" sheetId="6" r:id="rId3"/>
    <sheet name="Caracteristicas de Diseño" sheetId="12" r:id="rId4"/>
    <sheet name="Parámetros" sheetId="2" r:id="rId5"/>
  </sheets>
  <calcPr calcId="179017"/>
</workbook>
</file>

<file path=xl/calcChain.xml><?xml version="1.0" encoding="utf-8"?>
<calcChain xmlns="http://schemas.openxmlformats.org/spreadsheetml/2006/main">
  <c r="E18" i="12" l="1"/>
  <c r="T61" i="12" l="1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R61" i="12"/>
  <c r="U61" i="12" s="1"/>
  <c r="R62" i="12"/>
  <c r="U62" i="12" s="1"/>
  <c r="R63" i="12"/>
  <c r="R64" i="12"/>
  <c r="U64" i="12" s="1"/>
  <c r="R65" i="12"/>
  <c r="U65" i="12" s="1"/>
  <c r="R66" i="12"/>
  <c r="U66" i="12" s="1"/>
  <c r="R67" i="12"/>
  <c r="U67" i="12" s="1"/>
  <c r="R68" i="12"/>
  <c r="U68" i="12" s="1"/>
  <c r="R69" i="12"/>
  <c r="U69" i="12" s="1"/>
  <c r="R70" i="12"/>
  <c r="U70" i="12" s="1"/>
  <c r="R71" i="12"/>
  <c r="U71" i="12" s="1"/>
  <c r="R72" i="12"/>
  <c r="U72" i="12" s="1"/>
  <c r="R73" i="12"/>
  <c r="U73" i="12" s="1"/>
  <c r="R74" i="12"/>
  <c r="R75" i="12"/>
  <c r="U75" i="12" s="1"/>
  <c r="R76" i="12"/>
  <c r="U76" i="12" s="1"/>
  <c r="R77" i="12"/>
  <c r="U77" i="12" s="1"/>
  <c r="R78" i="12"/>
  <c r="U78" i="12" s="1"/>
  <c r="R79" i="12"/>
  <c r="R80" i="12"/>
  <c r="U80" i="12" s="1"/>
  <c r="R81" i="12"/>
  <c r="U81" i="12" s="1"/>
  <c r="R82" i="12"/>
  <c r="R83" i="12"/>
  <c r="U83" i="12" s="1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R22" i="12"/>
  <c r="U22" i="12" s="1"/>
  <c r="R23" i="12"/>
  <c r="U23" i="12" s="1"/>
  <c r="R24" i="12"/>
  <c r="U24" i="12" s="1"/>
  <c r="R25" i="12"/>
  <c r="U25" i="12" s="1"/>
  <c r="R26" i="12"/>
  <c r="U26" i="12" s="1"/>
  <c r="R27" i="12"/>
  <c r="U27" i="12" s="1"/>
  <c r="R28" i="12"/>
  <c r="U28" i="12" s="1"/>
  <c r="R29" i="12"/>
  <c r="U29" i="12" s="1"/>
  <c r="R30" i="12"/>
  <c r="U30" i="12" s="1"/>
  <c r="R31" i="12"/>
  <c r="U31" i="12" s="1"/>
  <c r="R32" i="12"/>
  <c r="U32" i="12" s="1"/>
  <c r="R33" i="12"/>
  <c r="U33" i="12" s="1"/>
  <c r="R34" i="12"/>
  <c r="U34" i="12" s="1"/>
  <c r="R35" i="12"/>
  <c r="U35" i="12" s="1"/>
  <c r="R36" i="12"/>
  <c r="U36" i="12" s="1"/>
  <c r="R37" i="12"/>
  <c r="U37" i="12" s="1"/>
  <c r="R38" i="12"/>
  <c r="U38" i="12" s="1"/>
  <c r="R39" i="12"/>
  <c r="U39" i="12" s="1"/>
  <c r="R40" i="12"/>
  <c r="U40" i="12" s="1"/>
  <c r="R41" i="12"/>
  <c r="U41" i="12" s="1"/>
  <c r="R42" i="12"/>
  <c r="U42" i="12" s="1"/>
  <c r="R43" i="12"/>
  <c r="U43" i="12" s="1"/>
  <c r="R44" i="12"/>
  <c r="U44" i="12" s="1"/>
  <c r="R45" i="12"/>
  <c r="U45" i="12" s="1"/>
  <c r="R46" i="12"/>
  <c r="U46" i="12" s="1"/>
  <c r="R47" i="12"/>
  <c r="U47" i="12" s="1"/>
  <c r="R48" i="12"/>
  <c r="U48" i="12" s="1"/>
  <c r="R49" i="12"/>
  <c r="U49" i="12" s="1"/>
  <c r="R50" i="12"/>
  <c r="U50" i="12" s="1"/>
  <c r="R51" i="12"/>
  <c r="U51" i="12" s="1"/>
  <c r="R52" i="12"/>
  <c r="U52" i="12" s="1"/>
  <c r="R53" i="12"/>
  <c r="U53" i="12" s="1"/>
  <c r="R54" i="12"/>
  <c r="U54" i="12" s="1"/>
  <c r="R55" i="12"/>
  <c r="U55" i="12" s="1"/>
  <c r="R56" i="12"/>
  <c r="U56" i="12" s="1"/>
  <c r="R57" i="12"/>
  <c r="U57" i="12" s="1"/>
  <c r="R58" i="12"/>
  <c r="U58" i="12" s="1"/>
  <c r="R59" i="12"/>
  <c r="U59" i="12" s="1"/>
  <c r="R60" i="12"/>
  <c r="U60" i="12" s="1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R21" i="12"/>
  <c r="U21" i="12" s="1"/>
  <c r="T20" i="12"/>
  <c r="S20" i="12"/>
  <c r="R20" i="12"/>
  <c r="U20" i="12" s="1"/>
  <c r="U82" i="12" l="1"/>
  <c r="U79" i="12"/>
  <c r="U74" i="12"/>
  <c r="U63" i="12"/>
  <c r="H14" i="12"/>
  <c r="H15" i="12" s="1"/>
  <c r="J15" i="12"/>
  <c r="E21" i="12" s="1"/>
  <c r="G14" i="12"/>
  <c r="F15" i="12"/>
  <c r="F14" i="12"/>
  <c r="K15" i="12"/>
  <c r="G15" i="12" s="1"/>
  <c r="D15" i="12"/>
  <c r="C14" i="12"/>
  <c r="B14" i="12"/>
  <c r="H3" i="12"/>
  <c r="I10" i="12"/>
  <c r="X73" i="12" s="1"/>
  <c r="E7" i="12"/>
  <c r="E6" i="12"/>
  <c r="C15" i="12" l="1"/>
  <c r="E19" i="12"/>
  <c r="L14" i="12"/>
  <c r="X70" i="12"/>
  <c r="X32" i="12"/>
  <c r="X63" i="12"/>
  <c r="Y73" i="12"/>
  <c r="W73" i="12" s="1"/>
  <c r="X33" i="12"/>
  <c r="X77" i="12"/>
  <c r="X69" i="12"/>
  <c r="Y69" i="12"/>
  <c r="X66" i="12"/>
  <c r="X82" i="12"/>
  <c r="X31" i="12"/>
  <c r="X75" i="12"/>
  <c r="X65" i="12"/>
  <c r="X68" i="12"/>
  <c r="X46" i="12"/>
  <c r="X72" i="12"/>
  <c r="Y77" i="12"/>
  <c r="X74" i="12"/>
  <c r="X44" i="12"/>
  <c r="X67" i="12"/>
  <c r="X49" i="12"/>
  <c r="X81" i="12"/>
  <c r="X34" i="12"/>
  <c r="Y64" i="12"/>
  <c r="Y70" i="12"/>
  <c r="Y75" i="12"/>
  <c r="Y80" i="12"/>
  <c r="X76" i="12"/>
  <c r="Y24" i="12"/>
  <c r="Y28" i="12"/>
  <c r="Y32" i="12"/>
  <c r="Y36" i="12"/>
  <c r="Y40" i="12"/>
  <c r="Y44" i="12"/>
  <c r="Y48" i="12"/>
  <c r="Y52" i="12"/>
  <c r="Y56" i="12"/>
  <c r="Y60" i="12"/>
  <c r="X24" i="12"/>
  <c r="X28" i="12"/>
  <c r="X37" i="12"/>
  <c r="X42" i="12"/>
  <c r="X48" i="12"/>
  <c r="X55" i="12"/>
  <c r="X59" i="12"/>
  <c r="Y27" i="12"/>
  <c r="Y35" i="12"/>
  <c r="Y47" i="12"/>
  <c r="X23" i="12"/>
  <c r="X41" i="12"/>
  <c r="Y61" i="12"/>
  <c r="Y66" i="12"/>
  <c r="Y71" i="12"/>
  <c r="Y76" i="12"/>
  <c r="Y82" i="12"/>
  <c r="X79" i="12"/>
  <c r="Y21" i="12"/>
  <c r="Y25" i="12"/>
  <c r="Y29" i="12"/>
  <c r="Y33" i="12"/>
  <c r="Y37" i="12"/>
  <c r="Y41" i="12"/>
  <c r="Y45" i="12"/>
  <c r="Y49" i="12"/>
  <c r="Y53" i="12"/>
  <c r="Y57" i="12"/>
  <c r="X21" i="12"/>
  <c r="X25" i="12"/>
  <c r="X29" i="12"/>
  <c r="X39" i="12"/>
  <c r="X43" i="12"/>
  <c r="X50" i="12"/>
  <c r="X56" i="12"/>
  <c r="X60" i="12"/>
  <c r="Y63" i="12"/>
  <c r="Y74" i="12"/>
  <c r="X61" i="12"/>
  <c r="Y43" i="12"/>
  <c r="Y59" i="12"/>
  <c r="X27" i="12"/>
  <c r="X47" i="12"/>
  <c r="X58" i="12"/>
  <c r="H7" i="12"/>
  <c r="I7" i="12" s="1"/>
  <c r="Y62" i="12"/>
  <c r="Y67" i="12"/>
  <c r="Y72" i="12"/>
  <c r="Y78" i="12"/>
  <c r="Y83" i="12"/>
  <c r="X80" i="12"/>
  <c r="Y22" i="12"/>
  <c r="Y26" i="12"/>
  <c r="Y30" i="12"/>
  <c r="Y34" i="12"/>
  <c r="Y38" i="12"/>
  <c r="Y42" i="12"/>
  <c r="Y46" i="12"/>
  <c r="Y50" i="12"/>
  <c r="Y54" i="12"/>
  <c r="Y58" i="12"/>
  <c r="X22" i="12"/>
  <c r="X26" i="12"/>
  <c r="X30" i="12"/>
  <c r="X40" i="12"/>
  <c r="X45" i="12"/>
  <c r="X51" i="12"/>
  <c r="X57" i="12"/>
  <c r="Y68" i="12"/>
  <c r="Y79" i="12"/>
  <c r="X83" i="12"/>
  <c r="Y23" i="12"/>
  <c r="Y31" i="12"/>
  <c r="Y39" i="12"/>
  <c r="Y51" i="12"/>
  <c r="Y55" i="12"/>
  <c r="X36" i="12"/>
  <c r="X54" i="12"/>
  <c r="Y65" i="12"/>
  <c r="AA65" i="12" s="1"/>
  <c r="Y81" i="12"/>
  <c r="W81" i="12" s="1"/>
  <c r="X62" i="12"/>
  <c r="X78" i="12"/>
  <c r="X52" i="12"/>
  <c r="X71" i="12"/>
  <c r="X53" i="12"/>
  <c r="X64" i="12"/>
  <c r="X38" i="12"/>
  <c r="X35" i="12"/>
  <c r="AA81" i="12"/>
  <c r="V69" i="12"/>
  <c r="V65" i="12"/>
  <c r="Y20" i="12"/>
  <c r="W20" i="12" s="1"/>
  <c r="X20" i="12"/>
  <c r="H6" i="12"/>
  <c r="E15" i="12" s="1"/>
  <c r="M14" i="12"/>
  <c r="V14" i="4"/>
  <c r="V81" i="12" l="1"/>
  <c r="AA73" i="12"/>
  <c r="Z81" i="12"/>
  <c r="V73" i="12"/>
  <c r="Z73" i="12"/>
  <c r="W39" i="12"/>
  <c r="V39" i="12"/>
  <c r="Z39" i="12"/>
  <c r="AA39" i="12"/>
  <c r="AA79" i="12"/>
  <c r="W79" i="12"/>
  <c r="V79" i="12"/>
  <c r="Z79" i="12"/>
  <c r="W46" i="12"/>
  <c r="V46" i="12"/>
  <c r="Z46" i="12"/>
  <c r="AA46" i="12"/>
  <c r="W30" i="12"/>
  <c r="V30" i="12"/>
  <c r="AA30" i="12"/>
  <c r="Z30" i="12"/>
  <c r="AA62" i="12"/>
  <c r="W62" i="12"/>
  <c r="V62" i="12"/>
  <c r="Z62" i="12"/>
  <c r="W33" i="12"/>
  <c r="V33" i="12"/>
  <c r="AA33" i="12"/>
  <c r="Z33" i="12"/>
  <c r="W36" i="12"/>
  <c r="AA36" i="12"/>
  <c r="Z36" i="12"/>
  <c r="V36" i="12"/>
  <c r="Z65" i="12"/>
  <c r="W65" i="12"/>
  <c r="W51" i="12"/>
  <c r="AA51" i="12"/>
  <c r="Z51" i="12"/>
  <c r="V51" i="12"/>
  <c r="W50" i="12"/>
  <c r="V50" i="12"/>
  <c r="Z50" i="12"/>
  <c r="AA50" i="12"/>
  <c r="W34" i="12"/>
  <c r="Z34" i="12"/>
  <c r="AA34" i="12"/>
  <c r="V34" i="12"/>
  <c r="AA67" i="12"/>
  <c r="W67" i="12"/>
  <c r="V67" i="12"/>
  <c r="Z67" i="12"/>
  <c r="W53" i="12"/>
  <c r="AA53" i="12"/>
  <c r="Z53" i="12"/>
  <c r="V53" i="12"/>
  <c r="W37" i="12"/>
  <c r="V37" i="12"/>
  <c r="Z37" i="12"/>
  <c r="AA37" i="12"/>
  <c r="AA21" i="12"/>
  <c r="V21" i="12"/>
  <c r="W21" i="12"/>
  <c r="Z21" i="12"/>
  <c r="AA71" i="12"/>
  <c r="Z71" i="12"/>
  <c r="V71" i="12"/>
  <c r="W71" i="12"/>
  <c r="W56" i="12"/>
  <c r="Z56" i="12"/>
  <c r="V56" i="12"/>
  <c r="AA56" i="12"/>
  <c r="W40" i="12"/>
  <c r="V40" i="12"/>
  <c r="Z40" i="12"/>
  <c r="AA40" i="12"/>
  <c r="Z24" i="12"/>
  <c r="V24" i="12"/>
  <c r="W24" i="12"/>
  <c r="AA24" i="12"/>
  <c r="AA70" i="12"/>
  <c r="W70" i="12"/>
  <c r="V70" i="12"/>
  <c r="Z70" i="12"/>
  <c r="W77" i="12"/>
  <c r="V77" i="12"/>
  <c r="AA77" i="12"/>
  <c r="Z77" i="12"/>
  <c r="AA83" i="12"/>
  <c r="W83" i="12"/>
  <c r="Z83" i="12"/>
  <c r="V83" i="12"/>
  <c r="W49" i="12"/>
  <c r="V49" i="12"/>
  <c r="Z49" i="12"/>
  <c r="AA49" i="12"/>
  <c r="Z31" i="12"/>
  <c r="AA31" i="12"/>
  <c r="V31" i="12"/>
  <c r="W31" i="12"/>
  <c r="Z68" i="12"/>
  <c r="AA68" i="12"/>
  <c r="W68" i="12"/>
  <c r="V68" i="12"/>
  <c r="W58" i="12"/>
  <c r="Z58" i="12"/>
  <c r="V58" i="12"/>
  <c r="AA58" i="12"/>
  <c r="W42" i="12"/>
  <c r="AA42" i="12"/>
  <c r="Z42" i="12"/>
  <c r="V42" i="12"/>
  <c r="AA26" i="12"/>
  <c r="W26" i="12"/>
  <c r="V26" i="12"/>
  <c r="Z26" i="12"/>
  <c r="AA78" i="12"/>
  <c r="W78" i="12"/>
  <c r="Z78" i="12"/>
  <c r="V78" i="12"/>
  <c r="Z59" i="12"/>
  <c r="V59" i="12"/>
  <c r="AA59" i="12"/>
  <c r="W59" i="12"/>
  <c r="AA63" i="12"/>
  <c r="W63" i="12"/>
  <c r="V63" i="12"/>
  <c r="Z63" i="12"/>
  <c r="W45" i="12"/>
  <c r="V45" i="12"/>
  <c r="AA45" i="12"/>
  <c r="Z45" i="12"/>
  <c r="W29" i="12"/>
  <c r="V29" i="12"/>
  <c r="Z29" i="12"/>
  <c r="AA29" i="12"/>
  <c r="AA82" i="12"/>
  <c r="Z82" i="12"/>
  <c r="V82" i="12"/>
  <c r="W82" i="12"/>
  <c r="Z61" i="12"/>
  <c r="W61" i="12"/>
  <c r="V61" i="12"/>
  <c r="AA61" i="12"/>
  <c r="Z35" i="12"/>
  <c r="W35" i="12"/>
  <c r="V35" i="12"/>
  <c r="AA35" i="12"/>
  <c r="W48" i="12"/>
  <c r="AA48" i="12"/>
  <c r="V48" i="12"/>
  <c r="Z48" i="12"/>
  <c r="W32" i="12"/>
  <c r="V32" i="12"/>
  <c r="AA32" i="12"/>
  <c r="Z32" i="12"/>
  <c r="Z80" i="12"/>
  <c r="V80" i="12"/>
  <c r="AA80" i="12"/>
  <c r="W80" i="12"/>
  <c r="AA74" i="12"/>
  <c r="W74" i="12"/>
  <c r="V74" i="12"/>
  <c r="Z74" i="12"/>
  <c r="AA66" i="12"/>
  <c r="Z66" i="12"/>
  <c r="W66" i="12"/>
  <c r="V66" i="12"/>
  <c r="W47" i="12"/>
  <c r="V47" i="12"/>
  <c r="Z47" i="12"/>
  <c r="AA47" i="12"/>
  <c r="W52" i="12"/>
  <c r="Z52" i="12"/>
  <c r="AA52" i="12"/>
  <c r="V52" i="12"/>
  <c r="V64" i="12"/>
  <c r="AA64" i="12"/>
  <c r="Z64" i="12"/>
  <c r="W64" i="12"/>
  <c r="W69" i="12"/>
  <c r="AA69" i="12"/>
  <c r="Z69" i="12"/>
  <c r="W55" i="12"/>
  <c r="V55" i="12"/>
  <c r="AA55" i="12"/>
  <c r="Z55" i="12"/>
  <c r="Z23" i="12"/>
  <c r="V23" i="12"/>
  <c r="AA23" i="12"/>
  <c r="W23" i="12"/>
  <c r="W54" i="12"/>
  <c r="Z54" i="12"/>
  <c r="V54" i="12"/>
  <c r="AA54" i="12"/>
  <c r="W38" i="12"/>
  <c r="AA38" i="12"/>
  <c r="Z38" i="12"/>
  <c r="V38" i="12"/>
  <c r="AA22" i="12"/>
  <c r="W22" i="12"/>
  <c r="V22" i="12"/>
  <c r="Z22" i="12"/>
  <c r="Z72" i="12"/>
  <c r="AA72" i="12"/>
  <c r="W72" i="12"/>
  <c r="V72" i="12"/>
  <c r="W43" i="12"/>
  <c r="V43" i="12"/>
  <c r="Z43" i="12"/>
  <c r="AA43" i="12"/>
  <c r="W57" i="12"/>
  <c r="Z57" i="12"/>
  <c r="V57" i="12"/>
  <c r="AA57" i="12"/>
  <c r="W41" i="12"/>
  <c r="AA41" i="12"/>
  <c r="Z41" i="12"/>
  <c r="V41" i="12"/>
  <c r="AA25" i="12"/>
  <c r="V25" i="12"/>
  <c r="W25" i="12"/>
  <c r="Z25" i="12"/>
  <c r="V76" i="12"/>
  <c r="AA76" i="12"/>
  <c r="W76" i="12"/>
  <c r="Z76" i="12"/>
  <c r="V27" i="12"/>
  <c r="Z27" i="12"/>
  <c r="AA27" i="12"/>
  <c r="W27" i="12"/>
  <c r="W60" i="12"/>
  <c r="Z60" i="12"/>
  <c r="V60" i="12"/>
  <c r="AA60" i="12"/>
  <c r="Z44" i="12"/>
  <c r="AA44" i="12"/>
  <c r="V44" i="12"/>
  <c r="W44" i="12"/>
  <c r="Z28" i="12"/>
  <c r="AA28" i="12"/>
  <c r="W28" i="12"/>
  <c r="V28" i="12"/>
  <c r="AA75" i="12"/>
  <c r="V75" i="12"/>
  <c r="W75" i="12"/>
  <c r="Z75" i="12"/>
  <c r="H4" i="12"/>
  <c r="L15" i="12" s="1"/>
  <c r="M15" i="12" s="1"/>
  <c r="H5" i="12"/>
  <c r="I8" i="12"/>
  <c r="AA20" i="12"/>
  <c r="Z20" i="12"/>
  <c r="V20" i="12"/>
  <c r="B4" i="6"/>
  <c r="B12" i="6"/>
  <c r="H16" i="6"/>
  <c r="B18" i="6" s="1"/>
  <c r="E18" i="6" s="1"/>
  <c r="B11" i="6"/>
  <c r="B5" i="6"/>
  <c r="F18" i="6" l="1"/>
  <c r="B19" i="6"/>
  <c r="E19" i="6"/>
  <c r="B20" i="6" s="1"/>
  <c r="M44" i="4"/>
  <c r="G18" i="6" l="1"/>
  <c r="H18" i="6"/>
  <c r="B21" i="6"/>
  <c r="E20" i="6" s="1"/>
  <c r="D22" i="6" s="1"/>
  <c r="F66" i="4"/>
  <c r="C73" i="4"/>
  <c r="D4" i="4"/>
  <c r="C29" i="4"/>
  <c r="C30" i="4"/>
  <c r="H30" i="4"/>
  <c r="C34" i="4" s="1"/>
  <c r="H29" i="4"/>
  <c r="J25" i="4"/>
  <c r="D25" i="4"/>
  <c r="D13" i="4"/>
  <c r="D16" i="4"/>
  <c r="D18" i="4"/>
  <c r="G53" i="4" s="1"/>
  <c r="D17" i="4"/>
  <c r="G54" i="4" s="1"/>
  <c r="D8" i="4"/>
  <c r="D7" i="4"/>
  <c r="D6" i="4"/>
  <c r="D5" i="4"/>
  <c r="C31" i="4" l="1"/>
  <c r="D21" i="6"/>
  <c r="H34" i="4"/>
  <c r="G43" i="4" s="1"/>
  <c r="H31" i="4"/>
  <c r="C33" i="4"/>
  <c r="H33" i="4"/>
  <c r="E41" i="4"/>
  <c r="G42" i="4" s="1"/>
  <c r="E136" i="1"/>
  <c r="J99" i="1"/>
  <c r="H102" i="1"/>
  <c r="H101" i="1"/>
  <c r="H100" i="1"/>
  <c r="G44" i="4" l="1"/>
  <c r="D54" i="4" s="1"/>
  <c r="H54" i="4" s="1"/>
  <c r="C32" i="4"/>
  <c r="H32" i="4"/>
  <c r="J112" i="1"/>
  <c r="H115" i="1"/>
  <c r="H114" i="1"/>
  <c r="H113" i="1"/>
  <c r="J66" i="1"/>
  <c r="J33" i="1"/>
  <c r="D71" i="1"/>
  <c r="D75" i="1" s="1"/>
  <c r="C80" i="1" s="1"/>
  <c r="H69" i="1"/>
  <c r="H68" i="1"/>
  <c r="H67" i="1"/>
  <c r="D40" i="1"/>
  <c r="D39" i="1"/>
  <c r="M30" i="1"/>
  <c r="J30" i="1"/>
  <c r="D21" i="1"/>
  <c r="D28" i="1"/>
  <c r="D8" i="1"/>
  <c r="D7" i="1"/>
  <c r="I104" i="1" s="1"/>
  <c r="D6" i="1"/>
  <c r="E37" i="4" l="1"/>
  <c r="E70" i="4" s="1"/>
  <c r="E71" i="4" s="1"/>
  <c r="E36" i="4"/>
  <c r="G48" i="4" s="1"/>
  <c r="D53" i="4" s="1"/>
  <c r="H53" i="4" s="1"/>
  <c r="I106" i="1"/>
  <c r="L106" i="1"/>
  <c r="C77" i="1"/>
  <c r="D77" i="1"/>
  <c r="F77" i="1"/>
  <c r="D29" i="1"/>
  <c r="J27" i="1" s="1"/>
  <c r="D44" i="1"/>
  <c r="D4" i="1"/>
  <c r="E135" i="1" s="1"/>
  <c r="L136" i="1" s="1"/>
  <c r="D5" i="1"/>
  <c r="D117" i="1" s="1"/>
  <c r="H36" i="1"/>
  <c r="H35" i="1"/>
  <c r="H34" i="1"/>
  <c r="E59" i="4" l="1"/>
  <c r="E61" i="4" s="1"/>
  <c r="E58" i="4"/>
  <c r="C117" i="1"/>
  <c r="K137" i="1"/>
  <c r="K136" i="1"/>
  <c r="D76" i="1"/>
  <c r="D45" i="1"/>
  <c r="F47" i="1" s="1"/>
  <c r="L51" i="1"/>
  <c r="C46" i="1"/>
  <c r="D46" i="1"/>
  <c r="F46" i="1"/>
  <c r="C49" i="1"/>
  <c r="M27" i="1"/>
  <c r="D52" i="1"/>
  <c r="D53" i="1" s="1"/>
  <c r="D48" i="1" l="1"/>
  <c r="C47" i="1"/>
  <c r="D47" i="1"/>
  <c r="F48" i="1"/>
  <c r="C48" i="1"/>
  <c r="F79" i="1"/>
  <c r="D78" i="1"/>
  <c r="C78" i="1"/>
  <c r="D79" i="1"/>
  <c r="C79" i="1"/>
  <c r="F78" i="1"/>
  <c r="D51" i="1"/>
  <c r="I73" i="1" l="1"/>
  <c r="I75" i="1" s="1"/>
  <c r="C54" i="1"/>
  <c r="F54" i="1"/>
  <c r="L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SAHEP PERÚ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>- Distancia Interna o Luz Libre entre Apoyos, estos pueden ser entramados.</t>
        </r>
      </text>
    </comment>
    <comment ref="C11" authorId="0" shapeId="0" xr:uid="{00000000-0006-0000-0100-000002000000}">
      <text>
        <r>
          <rPr>
            <sz val="9"/>
            <color indexed="81"/>
            <rFont val="Tahoma"/>
            <family val="2"/>
          </rPr>
          <t>Longitudo total que se desea cubrir</t>
        </r>
      </text>
    </comment>
    <comment ref="C12" authorId="0" shapeId="0" xr:uid="{00000000-0006-0000-0100-000003000000}">
      <text>
        <r>
          <rPr>
            <sz val="9"/>
            <color indexed="81"/>
            <rFont val="Tahoma"/>
            <family val="2"/>
          </rPr>
          <t>Espaciamiento entre viguetas</t>
        </r>
      </text>
    </comment>
  </commentList>
</comments>
</file>

<file path=xl/sharedStrings.xml><?xml version="1.0" encoding="utf-8"?>
<sst xmlns="http://schemas.openxmlformats.org/spreadsheetml/2006/main" count="612" uniqueCount="342">
  <si>
    <t>lef</t>
  </si>
  <si>
    <t>L</t>
  </si>
  <si>
    <t xml:space="preserve">Sección </t>
  </si>
  <si>
    <t>Dimensiones</t>
  </si>
  <si>
    <t>Area</t>
  </si>
  <si>
    <t>Eje X</t>
  </si>
  <si>
    <t>Eje Y</t>
  </si>
  <si>
    <t>Ix</t>
  </si>
  <si>
    <t>Zx</t>
  </si>
  <si>
    <t>Iy</t>
  </si>
  <si>
    <t>Zy</t>
  </si>
  <si>
    <t>Peso por m(**)</t>
  </si>
  <si>
    <t>Grupo</t>
  </si>
  <si>
    <t>A</t>
  </si>
  <si>
    <t>B</t>
  </si>
  <si>
    <t>C</t>
  </si>
  <si>
    <t>A  Kg/m</t>
  </si>
  <si>
    <t>B   Kg/m</t>
  </si>
  <si>
    <t>C   Kg/m</t>
  </si>
  <si>
    <t>1.5 x 2</t>
  </si>
  <si>
    <t>1.5 x 4</t>
  </si>
  <si>
    <t>1.5 x 6.5</t>
  </si>
  <si>
    <t>1.5 x 9</t>
  </si>
  <si>
    <t>Real               b x h           cm</t>
  </si>
  <si>
    <t>Area       cm2</t>
  </si>
  <si>
    <t>1.5 x 14</t>
  </si>
  <si>
    <t>1.5 x 19</t>
  </si>
  <si>
    <t>1.5 x 24</t>
  </si>
  <si>
    <t>1.5 x 29</t>
  </si>
  <si>
    <t>2 x 2</t>
  </si>
  <si>
    <t>2 x 4</t>
  </si>
  <si>
    <t>2 x 6.5</t>
  </si>
  <si>
    <t>2 x 9</t>
  </si>
  <si>
    <t>2 x 14</t>
  </si>
  <si>
    <t>2 x 19</t>
  </si>
  <si>
    <t>2 x 24</t>
  </si>
  <si>
    <t>2 x 29</t>
  </si>
  <si>
    <t>3 x 3</t>
  </si>
  <si>
    <t>3 x 4</t>
  </si>
  <si>
    <t>3 x 6.5</t>
  </si>
  <si>
    <t>3 x 9</t>
  </si>
  <si>
    <t>3 x 14</t>
  </si>
  <si>
    <t>3 x 19</t>
  </si>
  <si>
    <t>3 x 24</t>
  </si>
  <si>
    <t>3 x 29</t>
  </si>
  <si>
    <t>4 x 4</t>
  </si>
  <si>
    <t>4 x 6.5</t>
  </si>
  <si>
    <t>4 x 9</t>
  </si>
  <si>
    <t>4 x 14</t>
  </si>
  <si>
    <t>4 x 16.5</t>
  </si>
  <si>
    <t>4 x 19</t>
  </si>
  <si>
    <t>4 x 24</t>
  </si>
  <si>
    <t>4 x 29</t>
  </si>
  <si>
    <t>5 x 5</t>
  </si>
  <si>
    <t>5 x 6.5</t>
  </si>
  <si>
    <t>5 x 9</t>
  </si>
  <si>
    <t>5 x 14</t>
  </si>
  <si>
    <t>5 x 16.5</t>
  </si>
  <si>
    <t>5 x 19</t>
  </si>
  <si>
    <t>5 x 24</t>
  </si>
  <si>
    <t>5 x 29</t>
  </si>
  <si>
    <t>6.5 x 6.5</t>
  </si>
  <si>
    <t>6.5 x 9</t>
  </si>
  <si>
    <t>6.5 x 14</t>
  </si>
  <si>
    <t>6.5 x 16.5</t>
  </si>
  <si>
    <t>6.5 x 19</t>
  </si>
  <si>
    <t>6.5 x 24</t>
  </si>
  <si>
    <t>6.5 x 29</t>
  </si>
  <si>
    <t>9 x 9</t>
  </si>
  <si>
    <t>9 x 14</t>
  </si>
  <si>
    <t>9 x 16.5</t>
  </si>
  <si>
    <t>9 x 19</t>
  </si>
  <si>
    <t>9 x 24</t>
  </si>
  <si>
    <t>9 x 29</t>
  </si>
  <si>
    <t>14 x 14</t>
  </si>
  <si>
    <t>14 x 16.5</t>
  </si>
  <si>
    <t>14 x 19</t>
  </si>
  <si>
    <t>14 x 24</t>
  </si>
  <si>
    <t>14 x 29</t>
  </si>
  <si>
    <t>19 x 19</t>
  </si>
  <si>
    <t>19 x 24</t>
  </si>
  <si>
    <t>19 x 29</t>
  </si>
  <si>
    <t>24 x 24</t>
  </si>
  <si>
    <t>24 x 29</t>
  </si>
  <si>
    <t>29 x 29</t>
  </si>
  <si>
    <t>2 x 6</t>
  </si>
  <si>
    <t>2 x 8</t>
  </si>
  <si>
    <t>2 x 10</t>
  </si>
  <si>
    <t>2 x 7</t>
  </si>
  <si>
    <t>3 x 8</t>
  </si>
  <si>
    <t>3 x 10</t>
  </si>
  <si>
    <t>3 x 12</t>
  </si>
  <si>
    <t>Equivalente Comercial     b x h            pulg</t>
  </si>
  <si>
    <t>PROPIEDADES DE ESCUADRIA</t>
  </si>
  <si>
    <t>m3 de Madera     por m(*)     m3/m</t>
  </si>
  <si>
    <t xml:space="preserve">Ix </t>
  </si>
  <si>
    <t>cm2</t>
  </si>
  <si>
    <t>cm4</t>
  </si>
  <si>
    <t>cm3</t>
  </si>
  <si>
    <t>VERIFICACION POR FLEXO - COMPRESION</t>
  </si>
  <si>
    <t>CARGAS ACTUANTES</t>
  </si>
  <si>
    <t>Kg</t>
  </si>
  <si>
    <t>Kg - m</t>
  </si>
  <si>
    <t>Axial (N)</t>
  </si>
  <si>
    <t>Momento (M)</t>
  </si>
  <si>
    <r>
      <t>N</t>
    </r>
    <r>
      <rPr>
        <sz val="8"/>
        <color theme="1"/>
        <rFont val="Calibri"/>
        <family val="2"/>
        <scheme val="minor"/>
      </rPr>
      <t>adm</t>
    </r>
    <r>
      <rPr>
        <sz val="11"/>
        <color theme="1"/>
        <rFont val="Calibri"/>
        <family val="2"/>
        <scheme val="minor"/>
      </rPr>
      <t xml:space="preserve">  =</t>
    </r>
  </si>
  <si>
    <t>Emin</t>
  </si>
  <si>
    <t>Eprom</t>
  </si>
  <si>
    <t>fm</t>
  </si>
  <si>
    <t>fc</t>
  </si>
  <si>
    <t>fct</t>
  </si>
  <si>
    <t>fv</t>
  </si>
  <si>
    <t>ft</t>
  </si>
  <si>
    <t>Kg/cm2</t>
  </si>
  <si>
    <r>
      <t>N</t>
    </r>
    <r>
      <rPr>
        <sz val="8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</si>
  <si>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8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</t>
    </r>
  </si>
  <si>
    <t>m</t>
  </si>
  <si>
    <t>λ =</t>
  </si>
  <si>
    <t>Maximo Espaciamiento entre Correas</t>
  </si>
  <si>
    <t>d</t>
  </si>
  <si>
    <t>b</t>
  </si>
  <si>
    <t>cm</t>
  </si>
  <si>
    <t>DISEÑO DE TECHO DE MADERA</t>
  </si>
  <si>
    <t>l1</t>
  </si>
  <si>
    <t>l2</t>
  </si>
  <si>
    <t>l3</t>
  </si>
  <si>
    <t>ld</t>
  </si>
  <si>
    <t>Metrado de Cargas</t>
  </si>
  <si>
    <t>Peso Propio</t>
  </si>
  <si>
    <t>Kg/m2</t>
  </si>
  <si>
    <t>Peso de Cobertura</t>
  </si>
  <si>
    <t>Correas, Cabios y otros Elementos</t>
  </si>
  <si>
    <t>En Cobertura</t>
  </si>
  <si>
    <t>Total</t>
  </si>
  <si>
    <t>Proyectado Horiz.</t>
  </si>
  <si>
    <t>H</t>
  </si>
  <si>
    <t>α</t>
  </si>
  <si>
    <t>°</t>
  </si>
  <si>
    <t>Sobrecarga</t>
  </si>
  <si>
    <t>Peso de Cielo Raso</t>
  </si>
  <si>
    <t>Cargas Actuantes para Análisis Estructural</t>
  </si>
  <si>
    <t>Carga Sobre las Cuerdas Superiores</t>
  </si>
  <si>
    <t>Carga Sobre Las Cuerdas Inferiores</t>
  </si>
  <si>
    <t>Espaciamiento entre armaduras</t>
  </si>
  <si>
    <t>Kg/m</t>
  </si>
  <si>
    <t>L1</t>
  </si>
  <si>
    <t>L2</t>
  </si>
  <si>
    <t>L3</t>
  </si>
  <si>
    <t>DISEÑO DE LA CUERDA SUPERIOR</t>
  </si>
  <si>
    <r>
      <t>C</t>
    </r>
    <r>
      <rPr>
        <sz val="8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=</t>
    </r>
  </si>
  <si>
    <t>Columnas Cortas</t>
  </si>
  <si>
    <t>Columnas Intermedias</t>
  </si>
  <si>
    <t>Columnas Largas</t>
  </si>
  <si>
    <t>DISEÑO DE CUERDA INFERIOR</t>
  </si>
  <si>
    <t>pulg</t>
  </si>
  <si>
    <t>DISEÑO DE CUERDA DIAGONAL ①</t>
  </si>
  <si>
    <r>
      <t xml:space="preserve">DISEÑO DE CUERDA DIAGONAL </t>
    </r>
    <r>
      <rPr>
        <sz val="11"/>
        <color theme="1"/>
        <rFont val="Calibri"/>
        <family val="2"/>
      </rPr>
      <t>②</t>
    </r>
  </si>
  <si>
    <t>VERIFICACION POR COMPRESION</t>
  </si>
  <si>
    <r>
      <t xml:space="preserve">DISEÑO DE CUERDA DIAGONAL </t>
    </r>
    <r>
      <rPr>
        <sz val="11"/>
        <color theme="1"/>
        <rFont val="Calibri"/>
        <family val="2"/>
      </rPr>
      <t>③</t>
    </r>
  </si>
  <si>
    <t>T</t>
  </si>
  <si>
    <r>
      <t xml:space="preserve">Deformacion Elastica </t>
    </r>
    <r>
      <rPr>
        <sz val="11"/>
        <color theme="1"/>
        <rFont val="Calibri"/>
        <family val="2"/>
      </rPr>
      <t>δ</t>
    </r>
  </si>
  <si>
    <r>
      <t>Def. Máxima Admisible δ</t>
    </r>
    <r>
      <rPr>
        <sz val="8"/>
        <color theme="1"/>
        <rFont val="Calibri"/>
        <family val="2"/>
        <scheme val="minor"/>
      </rPr>
      <t>adm</t>
    </r>
  </si>
  <si>
    <t>CALCULO DE DEFLEXIONES</t>
  </si>
  <si>
    <r>
      <t xml:space="preserve">Deformación Máxima </t>
    </r>
    <r>
      <rPr>
        <sz val="11"/>
        <color theme="1"/>
        <rFont val="Calibri"/>
        <family val="2"/>
      </rPr>
      <t>δ</t>
    </r>
    <r>
      <rPr>
        <sz val="8"/>
        <color theme="1"/>
        <rFont val="Calibri"/>
        <family val="2"/>
      </rPr>
      <t>f</t>
    </r>
  </si>
  <si>
    <t>Observación:   δf =</t>
  </si>
  <si>
    <t>Conclusión:</t>
  </si>
  <si>
    <t>DISEÑO DE VIGUETAS</t>
  </si>
  <si>
    <t>PESO PROPIO DE VIGUETAS DE MADERA</t>
  </si>
  <si>
    <t>G         R         U         P         O</t>
  </si>
  <si>
    <t>ESPACIAMIENTO</t>
  </si>
  <si>
    <t>2 X 3</t>
  </si>
  <si>
    <t>4 X 6.5</t>
  </si>
  <si>
    <t>CARACTERISTICAS DE LA MADERA</t>
  </si>
  <si>
    <t>(Kg/m2)</t>
  </si>
  <si>
    <t>Grupo Estructural</t>
  </si>
  <si>
    <t>S</t>
  </si>
  <si>
    <t>n</t>
  </si>
  <si>
    <t>Peso Cobertura</t>
  </si>
  <si>
    <t>Correas</t>
  </si>
  <si>
    <t>DESPLAZAMIENTOS MAXIMOS ADMISIBLES</t>
  </si>
  <si>
    <t>Para Carga Total</t>
  </si>
  <si>
    <t>Para Sobrecarga Solamente</t>
  </si>
  <si>
    <r>
      <t>Δ</t>
    </r>
    <r>
      <rPr>
        <sz val="8"/>
        <color theme="1"/>
        <rFont val="Calibri"/>
        <family val="2"/>
      </rPr>
      <t>max</t>
    </r>
    <r>
      <rPr>
        <sz val="11"/>
        <color theme="1"/>
        <rFont val="Calibri"/>
        <family val="2"/>
      </rPr>
      <t xml:space="preserve">  =</t>
    </r>
  </si>
  <si>
    <t>METRADO DE CARGAS</t>
  </si>
  <si>
    <t>=</t>
  </si>
  <si>
    <t>Momento Maximo</t>
  </si>
  <si>
    <t>Mmax =</t>
  </si>
  <si>
    <t>Kg-m</t>
  </si>
  <si>
    <t>Cortante Máximo</t>
  </si>
  <si>
    <t>Vmax =</t>
  </si>
  <si>
    <t>CALCULO DEL MOMENTO DE INERCIA NECESARIO</t>
  </si>
  <si>
    <t>Considerando Deformaciones diferidas</t>
  </si>
  <si>
    <t>Weq =</t>
  </si>
  <si>
    <t>para la carga total</t>
  </si>
  <si>
    <t>K =</t>
  </si>
  <si>
    <t>I &gt;</t>
  </si>
  <si>
    <t>Para la Sobrecarga</t>
  </si>
  <si>
    <t>I =</t>
  </si>
  <si>
    <t>Modulo de Sección Z necesario por Resistencia</t>
  </si>
  <si>
    <t>Z  &gt;</t>
  </si>
  <si>
    <t>VERIFICACION DE LA SECCIÓN A USAR</t>
  </si>
  <si>
    <r>
      <t>Z</t>
    </r>
    <r>
      <rPr>
        <sz val="8"/>
        <color theme="1"/>
        <rFont val="Calibri"/>
        <family val="2"/>
        <scheme val="minor"/>
      </rPr>
      <t>requerido</t>
    </r>
    <r>
      <rPr>
        <sz val="11"/>
        <color theme="1"/>
        <rFont val="Calibri"/>
        <family val="2"/>
        <scheme val="minor"/>
      </rPr>
      <t xml:space="preserve"> =</t>
    </r>
  </si>
  <si>
    <r>
      <t>I</t>
    </r>
    <r>
      <rPr>
        <sz val="8"/>
        <color theme="1"/>
        <rFont val="Calibri"/>
        <family val="2"/>
        <scheme val="minor"/>
      </rPr>
      <t>requerido</t>
    </r>
    <r>
      <rPr>
        <sz val="11"/>
        <color theme="1"/>
        <rFont val="Calibri"/>
        <family val="2"/>
        <scheme val="minor"/>
      </rPr>
      <t xml:space="preserve"> =</t>
    </r>
  </si>
  <si>
    <r>
      <t>&lt;    Z</t>
    </r>
    <r>
      <rPr>
        <sz val="8"/>
        <color theme="1"/>
        <rFont val="Calibri"/>
        <family val="2"/>
        <scheme val="minor"/>
      </rPr>
      <t>sección</t>
    </r>
    <r>
      <rPr>
        <sz val="11"/>
        <color theme="1"/>
        <rFont val="Calibri"/>
        <family val="2"/>
        <scheme val="minor"/>
      </rPr>
      <t xml:space="preserve"> =</t>
    </r>
  </si>
  <si>
    <r>
      <t>&lt;     I</t>
    </r>
    <r>
      <rPr>
        <sz val="8"/>
        <color theme="1"/>
        <rFont val="Calibri"/>
        <family val="2"/>
        <scheme val="minor"/>
      </rPr>
      <t>sección</t>
    </r>
    <r>
      <rPr>
        <sz val="11"/>
        <color theme="1"/>
        <rFont val="Calibri"/>
        <family val="2"/>
        <scheme val="minor"/>
      </rPr>
      <t xml:space="preserve"> =</t>
    </r>
  </si>
  <si>
    <t>VERIFICACIÓN POR CORTE</t>
  </si>
  <si>
    <t>Vh  =</t>
  </si>
  <si>
    <t>τ  =</t>
  </si>
  <si>
    <t>LONGITUD DEL APOYO</t>
  </si>
  <si>
    <t>R =</t>
  </si>
  <si>
    <t>b =</t>
  </si>
  <si>
    <t>a =</t>
  </si>
  <si>
    <t>3/4" x 1"</t>
  </si>
  <si>
    <t>3/4" x 2"</t>
  </si>
  <si>
    <t>3/4" x 3"</t>
  </si>
  <si>
    <t>3/4" x 4"</t>
  </si>
  <si>
    <t>3/4" x 6"</t>
  </si>
  <si>
    <t>3/4" x 8"</t>
  </si>
  <si>
    <t>3/4" x 10"</t>
  </si>
  <si>
    <t>3/4" x 12"</t>
  </si>
  <si>
    <t>1" x 1"</t>
  </si>
  <si>
    <t>1" x 2"</t>
  </si>
  <si>
    <t>1" x 3"</t>
  </si>
  <si>
    <t>1" x 4"</t>
  </si>
  <si>
    <t>1" x 6"</t>
  </si>
  <si>
    <t>1" x 8"</t>
  </si>
  <si>
    <t>1" x 10"</t>
  </si>
  <si>
    <t>1" x 12"</t>
  </si>
  <si>
    <t>1 1/2" x 1 1/2"</t>
  </si>
  <si>
    <t>1 1/2" x 2"</t>
  </si>
  <si>
    <t>1 1/2" x 3"</t>
  </si>
  <si>
    <t>1 1/2" x 4"</t>
  </si>
  <si>
    <t>1 1/2" x 6"</t>
  </si>
  <si>
    <t>1 1/2" x 8"</t>
  </si>
  <si>
    <t>1 1/2" x 10"</t>
  </si>
  <si>
    <t>1 1/2" x 12"</t>
  </si>
  <si>
    <t>2" x 2"</t>
  </si>
  <si>
    <t>2" x 3"</t>
  </si>
  <si>
    <t>2" x 4"</t>
  </si>
  <si>
    <t>2" x 6"</t>
  </si>
  <si>
    <t>2" x 7"</t>
  </si>
  <si>
    <t>2" x 8"</t>
  </si>
  <si>
    <t>2" x 10"</t>
  </si>
  <si>
    <t>2" x 12"</t>
  </si>
  <si>
    <t>2 1/2" x 2 1/2"</t>
  </si>
  <si>
    <t>2 1/2" x 3"</t>
  </si>
  <si>
    <t>2 1/2" x 4"</t>
  </si>
  <si>
    <t>2 1/2" x 6"</t>
  </si>
  <si>
    <t>2 1/2" x 7"</t>
  </si>
  <si>
    <t>2 1/2" x 8"</t>
  </si>
  <si>
    <t>2 1/2" x 10"</t>
  </si>
  <si>
    <t>2 1/2" x 12"</t>
  </si>
  <si>
    <t>3" x 3"</t>
  </si>
  <si>
    <t>3" x 4"</t>
  </si>
  <si>
    <t>3" x 6"</t>
  </si>
  <si>
    <t>3" x 7"</t>
  </si>
  <si>
    <t>3" x 8"</t>
  </si>
  <si>
    <t>3" x 10"</t>
  </si>
  <si>
    <t>3" x 12"</t>
  </si>
  <si>
    <t>4" x 4"</t>
  </si>
  <si>
    <t>4" x 6"</t>
  </si>
  <si>
    <t>4" x 7"</t>
  </si>
  <si>
    <t>4" x 8"</t>
  </si>
  <si>
    <t>4" x 10"</t>
  </si>
  <si>
    <t>4" x 12"</t>
  </si>
  <si>
    <t>6" x 6"</t>
  </si>
  <si>
    <t>6" x 7"</t>
  </si>
  <si>
    <t>6" x 8"</t>
  </si>
  <si>
    <t>6" x 10"</t>
  </si>
  <si>
    <t>6" x 12"</t>
  </si>
  <si>
    <t>8" x 8"</t>
  </si>
  <si>
    <t>8" x 10"</t>
  </si>
  <si>
    <t>8" x 12"</t>
  </si>
  <si>
    <t>10" x 10"</t>
  </si>
  <si>
    <t>10" x 12"</t>
  </si>
  <si>
    <t>12" x 12"</t>
  </si>
  <si>
    <t>VERIFICACION DE ESTABILIDAD LATERAL</t>
  </si>
  <si>
    <t>h =</t>
  </si>
  <si>
    <t>factor</t>
  </si>
  <si>
    <t>P.e</t>
  </si>
  <si>
    <t>DISEÑO DE COLUMNAS</t>
  </si>
  <si>
    <t>LONGITUD EFECTIVA</t>
  </si>
  <si>
    <t>CONDICION DE APOYO</t>
  </si>
  <si>
    <t>1.   Articulado en ambos extremos</t>
  </si>
  <si>
    <t>2.   Empotrado en un extremo (prevención del desplazamiento y rotación) y el otro impedido de rotar pero libre de desplazarse</t>
  </si>
  <si>
    <t>3.   Empotrado en un extremo y el otro parcialmente impedido de rotar pero libre de desplazarse</t>
  </si>
  <si>
    <t>4.   Emportrado en un extremo y libre en el otro</t>
  </si>
  <si>
    <t>5.   Articulado en un extremo y el otro impedido de rotar, pero libre de desplazarse</t>
  </si>
  <si>
    <t>6.   Articulado en un extremo y libre en el otro</t>
  </si>
  <si>
    <t>k</t>
  </si>
  <si>
    <t>Condiciones de Apoyo</t>
  </si>
  <si>
    <t>Altura de Columna</t>
  </si>
  <si>
    <t>Carga Axial</t>
  </si>
  <si>
    <r>
      <rPr>
        <sz val="10"/>
        <color theme="1"/>
        <rFont val="Calibri"/>
        <family val="2"/>
      </rPr>
      <t>λ</t>
    </r>
    <r>
      <rPr>
        <sz val="10"/>
        <color theme="1"/>
        <rFont val="Arial"/>
        <family val="2"/>
      </rPr>
      <t xml:space="preserve"> =</t>
    </r>
  </si>
  <si>
    <t>lef  =</t>
  </si>
  <si>
    <t xml:space="preserve">A </t>
  </si>
  <si>
    <t>Ck  =</t>
  </si>
  <si>
    <t>Nadm  =</t>
  </si>
  <si>
    <t>Z =</t>
  </si>
  <si>
    <t>L =</t>
  </si>
  <si>
    <t>Grupo :</t>
  </si>
  <si>
    <r>
      <t>N</t>
    </r>
    <r>
      <rPr>
        <sz val="8"/>
        <color theme="1"/>
        <rFont val="Calibri"/>
        <family val="2"/>
        <scheme val="minor"/>
      </rPr>
      <t>adm</t>
    </r>
    <r>
      <rPr>
        <sz val="10"/>
        <color theme="1"/>
        <rFont val="Calibri"/>
        <family val="2"/>
        <scheme val="minor"/>
      </rPr>
      <t xml:space="preserve"> =</t>
    </r>
  </si>
  <si>
    <t>Ck - Col</t>
  </si>
  <si>
    <t>Ck - Ent</t>
  </si>
  <si>
    <t>Tracción</t>
  </si>
  <si>
    <t>Compresión en Columnas</t>
  </si>
  <si>
    <t>Compresión en Entramados</t>
  </si>
  <si>
    <t>Flexo-Tracción</t>
  </si>
  <si>
    <t>Flexo-Compresión</t>
  </si>
  <si>
    <t>Diseño</t>
  </si>
  <si>
    <r>
      <t>f</t>
    </r>
    <r>
      <rPr>
        <b/>
        <sz val="8"/>
        <color theme="1"/>
        <rFont val="Calibri"/>
        <family val="2"/>
        <scheme val="minor"/>
      </rPr>
      <t xml:space="preserve">t               </t>
    </r>
    <r>
      <rPr>
        <b/>
        <sz val="10"/>
        <color theme="1"/>
        <rFont val="Calibri"/>
        <family val="2"/>
        <scheme val="minor"/>
      </rPr>
      <t>Kg/cm</t>
    </r>
    <r>
      <rPr>
        <b/>
        <sz val="10"/>
        <color theme="1"/>
        <rFont val="Calibri"/>
        <family val="2"/>
      </rPr>
      <t>²</t>
    </r>
  </si>
  <si>
    <r>
      <t>f</t>
    </r>
    <r>
      <rPr>
        <b/>
        <sz val="8"/>
        <color theme="1"/>
        <rFont val="Calibri"/>
        <family val="2"/>
        <scheme val="minor"/>
      </rPr>
      <t xml:space="preserve">m            </t>
    </r>
    <r>
      <rPr>
        <b/>
        <sz val="10"/>
        <color theme="1"/>
        <rFont val="Calibri"/>
        <family val="2"/>
        <scheme val="minor"/>
      </rPr>
      <t>Kg/cm</t>
    </r>
    <r>
      <rPr>
        <b/>
        <sz val="10"/>
        <color theme="1"/>
        <rFont val="Calibri"/>
        <family val="2"/>
      </rPr>
      <t>²</t>
    </r>
  </si>
  <si>
    <t>-</t>
  </si>
  <si>
    <r>
      <t>f</t>
    </r>
    <r>
      <rPr>
        <b/>
        <sz val="8"/>
        <color theme="1"/>
        <rFont val="Calibri"/>
        <family val="2"/>
        <scheme val="minor"/>
      </rPr>
      <t xml:space="preserve">c                </t>
    </r>
    <r>
      <rPr>
        <b/>
        <sz val="10"/>
        <color theme="1"/>
        <rFont val="Calibri"/>
        <family val="2"/>
        <scheme val="minor"/>
      </rPr>
      <t>Kg/cm</t>
    </r>
    <r>
      <rPr>
        <b/>
        <sz val="10"/>
        <color theme="1"/>
        <rFont val="Calibri"/>
        <family val="2"/>
      </rPr>
      <t>²</t>
    </r>
  </si>
  <si>
    <t>N                   Kg</t>
  </si>
  <si>
    <t>Resultado</t>
  </si>
  <si>
    <t>Cálculo</t>
  </si>
  <si>
    <t>|M|            Kg-cm</t>
  </si>
  <si>
    <r>
      <t>K</t>
    </r>
    <r>
      <rPr>
        <b/>
        <sz val="8"/>
        <color theme="1"/>
        <rFont val="Calibri"/>
        <family val="2"/>
        <scheme val="minor"/>
      </rPr>
      <t>m</t>
    </r>
    <r>
      <rPr>
        <b/>
        <sz val="10"/>
        <color theme="1"/>
        <rFont val="Calibri"/>
        <family val="2"/>
        <scheme val="minor"/>
      </rPr>
      <t xml:space="preserve">                   Kg</t>
    </r>
  </si>
  <si>
    <t>Compresión Columnas</t>
  </si>
  <si>
    <t>Compresión Entramados</t>
  </si>
  <si>
    <t>Carga Admisible, Nadm (Kg)</t>
  </si>
  <si>
    <t>Esbeltez</t>
  </si>
  <si>
    <t>λ</t>
  </si>
  <si>
    <t>b           cm</t>
  </si>
  <si>
    <t>h              cm</t>
  </si>
  <si>
    <r>
      <t>A             cm</t>
    </r>
    <r>
      <rPr>
        <b/>
        <sz val="10"/>
        <color theme="1"/>
        <rFont val="Calibri"/>
        <family val="2"/>
      </rPr>
      <t>²</t>
    </r>
  </si>
  <si>
    <r>
      <t>I               cm</t>
    </r>
    <r>
      <rPr>
        <b/>
        <sz val="10"/>
        <color theme="1"/>
        <rFont val="Calibri"/>
        <family val="2"/>
      </rPr>
      <t>⁴</t>
    </r>
  </si>
  <si>
    <r>
      <t>Z              cm</t>
    </r>
    <r>
      <rPr>
        <b/>
        <sz val="10"/>
        <color theme="1"/>
        <rFont val="Calibri"/>
        <family val="2"/>
      </rPr>
      <t>³</t>
    </r>
  </si>
  <si>
    <t>Ncr                Kg</t>
  </si>
  <si>
    <r>
      <rPr>
        <b/>
        <sz val="10"/>
        <color theme="1"/>
        <rFont val="Calibri"/>
        <family val="2"/>
      </rPr>
      <t>σ</t>
    </r>
    <r>
      <rPr>
        <b/>
        <sz val="8"/>
        <color theme="1"/>
        <rFont val="Calibri"/>
        <family val="2"/>
      </rPr>
      <t>axial</t>
    </r>
    <r>
      <rPr>
        <b/>
        <sz val="10"/>
        <color theme="1"/>
        <rFont val="Calibri"/>
        <family val="2"/>
        <scheme val="minor"/>
      </rPr>
      <t xml:space="preserve">                   Kg/cm²</t>
    </r>
  </si>
  <si>
    <r>
      <rPr>
        <b/>
        <sz val="10"/>
        <color theme="1"/>
        <rFont val="Calibri"/>
        <family val="2"/>
      </rPr>
      <t>τ</t>
    </r>
    <r>
      <rPr>
        <b/>
        <sz val="10"/>
        <color theme="1"/>
        <rFont val="Calibri"/>
        <family val="2"/>
        <scheme val="minor"/>
      </rPr>
      <t xml:space="preserve">                   Kg/cm</t>
    </r>
    <r>
      <rPr>
        <b/>
        <sz val="10"/>
        <color theme="1"/>
        <rFont val="Calibri"/>
        <family val="2"/>
      </rPr>
      <t>²</t>
    </r>
  </si>
  <si>
    <r>
      <rPr>
        <b/>
        <sz val="10"/>
        <color theme="1"/>
        <rFont val="Calibri"/>
        <family val="2"/>
      </rPr>
      <t>σ</t>
    </r>
    <r>
      <rPr>
        <b/>
        <sz val="8"/>
        <color theme="1"/>
        <rFont val="Calibri"/>
        <family val="2"/>
      </rPr>
      <t>m</t>
    </r>
    <r>
      <rPr>
        <b/>
        <sz val="10"/>
        <color theme="1"/>
        <rFont val="Calibri"/>
        <family val="2"/>
        <scheme val="minor"/>
      </rPr>
      <t xml:space="preserve">                   Kg/cm²</t>
    </r>
  </si>
  <si>
    <t>V                  Kg</t>
  </si>
  <si>
    <t>Columnas</t>
  </si>
  <si>
    <t>Entramados</t>
  </si>
  <si>
    <t>Propiedades</t>
  </si>
  <si>
    <t>Momento de Inercia, I =</t>
  </si>
  <si>
    <t>Modulo plastico, Z =</t>
  </si>
  <si>
    <t>Porpiedades requeridas</t>
  </si>
  <si>
    <r>
      <t>N</t>
    </r>
    <r>
      <rPr>
        <sz val="8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>r =</t>
    </r>
  </si>
  <si>
    <t>Longitud de Apoyo, 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</si>
</sst>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00"/>
    <numFmt numFmtId="166" formatCode="0.000"/>
    <numFmt numFmtId="167" formatCode="0.0000"/>
    <numFmt numFmtId="168" formatCode="&quot;k = &quot;\ General"/>
    <numFmt numFmtId="169" formatCode="General\ &quot;cm&quot;"/>
    <numFmt numFmtId="170" formatCode="General\ &quot;cm⁴&quot;"/>
    <numFmt numFmtId="171" formatCode="General\ &quot;cm³&quot;"/>
    <numFmt numFmtId="172" formatCode="General\ &quot;Kg&quot;"/>
    <numFmt numFmtId="173" formatCode="0.0\ &quot;cm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u/>
      <sz val="20"/>
      <color theme="1"/>
      <name val="Cambria"/>
      <family val="1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mbria"/>
      <family val="1"/>
      <scheme val="major"/>
    </font>
    <font>
      <sz val="12"/>
      <color theme="1"/>
      <name val="Freestyle Script"/>
      <family val="4"/>
    </font>
    <font>
      <sz val="14"/>
      <color theme="1"/>
      <name val="Freestyle Script"/>
      <family val="4"/>
    </font>
    <font>
      <sz val="8"/>
      <color theme="1"/>
      <name val="Calibri"/>
      <family val="2"/>
    </font>
    <font>
      <sz val="12"/>
      <color theme="1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sz val="11"/>
      <color theme="1"/>
      <name val="BankGothic Lt BT"/>
      <family val="2"/>
    </font>
    <font>
      <b/>
      <u/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3" tint="-0.249977111117893"/>
      <name val="Calibri"/>
      <family val="2"/>
      <scheme val="minor"/>
    </font>
    <font>
      <sz val="10"/>
      <color theme="0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right"/>
    </xf>
    <xf numFmtId="0" fontId="0" fillId="3" borderId="0" xfId="0" applyFill="1" applyAlignment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19" fillId="3" borderId="0" xfId="0" applyFont="1" applyFill="1"/>
    <xf numFmtId="0" fontId="23" fillId="3" borderId="0" xfId="0" applyFont="1" applyFill="1"/>
    <xf numFmtId="0" fontId="19" fillId="0" borderId="0" xfId="0" applyFont="1" applyAlignment="1">
      <alignment horizontal="center"/>
    </xf>
    <xf numFmtId="0" fontId="3" fillId="2" borderId="1" xfId="1" applyFont="1" applyAlignment="1">
      <alignment horizontal="center"/>
    </xf>
    <xf numFmtId="0" fontId="3" fillId="2" borderId="1" xfId="1" applyFont="1" applyAlignment="1">
      <alignment horizontal="center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166" fontId="0" fillId="0" borderId="0" xfId="0" applyNumberForma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1" fillId="3" borderId="0" xfId="0" applyFont="1" applyFill="1"/>
    <xf numFmtId="0" fontId="11" fillId="3" borderId="0" xfId="0" applyFont="1" applyFill="1" applyAlignment="1"/>
    <xf numFmtId="2" fontId="3" fillId="3" borderId="0" xfId="0" applyNumberFormat="1" applyFont="1" applyFill="1" applyAlignment="1">
      <alignment horizontal="center"/>
    </xf>
    <xf numFmtId="168" fontId="28" fillId="3" borderId="0" xfId="0" applyNumberFormat="1" applyFont="1" applyFill="1" applyAlignment="1">
      <alignment horizontal="center" vertical="center" wrapText="1"/>
    </xf>
    <xf numFmtId="0" fontId="32" fillId="3" borderId="0" xfId="0" applyFont="1" applyFill="1"/>
    <xf numFmtId="0" fontId="3" fillId="5" borderId="0" xfId="0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27" fillId="3" borderId="0" xfId="0" applyFont="1" applyFill="1"/>
    <xf numFmtId="0" fontId="27" fillId="3" borderId="0" xfId="0" applyFont="1" applyFill="1" applyAlignment="1">
      <alignment horizontal="right"/>
    </xf>
    <xf numFmtId="0" fontId="6" fillId="3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2" borderId="1" xfId="1" applyFont="1" applyAlignment="1">
      <alignment horizontal="center"/>
    </xf>
    <xf numFmtId="0" fontId="34" fillId="3" borderId="0" xfId="0" applyFont="1" applyFill="1"/>
    <xf numFmtId="0" fontId="34" fillId="3" borderId="0" xfId="0" applyFont="1" applyFill="1" applyAlignment="1">
      <alignment horizontal="right"/>
    </xf>
    <xf numFmtId="169" fontId="34" fillId="3" borderId="0" xfId="0" applyNumberFormat="1" applyFont="1" applyFill="1"/>
    <xf numFmtId="0" fontId="30" fillId="3" borderId="0" xfId="0" applyFont="1" applyFill="1"/>
    <xf numFmtId="168" fontId="37" fillId="3" borderId="0" xfId="0" applyNumberFormat="1" applyFont="1" applyFill="1" applyAlignment="1">
      <alignment horizontal="center" vertical="center" wrapText="1"/>
    </xf>
    <xf numFmtId="172" fontId="34" fillId="3" borderId="0" xfId="0" applyNumberFormat="1" applyFont="1" applyFill="1" applyAlignment="1">
      <alignment horizontal="left"/>
    </xf>
    <xf numFmtId="0" fontId="3" fillId="3" borderId="6" xfId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4" fillId="3" borderId="0" xfId="0" applyFont="1" applyFill="1" applyAlignment="1">
      <alignment horizontal="center"/>
    </xf>
    <xf numFmtId="169" fontId="34" fillId="3" borderId="0" xfId="0" applyNumberFormat="1" applyFont="1" applyFill="1" applyAlignment="1">
      <alignment horizontal="left"/>
    </xf>
    <xf numFmtId="170" fontId="34" fillId="3" borderId="0" xfId="0" applyNumberFormat="1" applyFont="1" applyFill="1" applyAlignment="1">
      <alignment horizontal="left"/>
    </xf>
    <xf numFmtId="171" fontId="34" fillId="3" borderId="0" xfId="0" applyNumberFormat="1" applyFont="1" applyFill="1" applyAlignment="1">
      <alignment horizontal="left"/>
    </xf>
    <xf numFmtId="0" fontId="34" fillId="3" borderId="3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/>
    </xf>
    <xf numFmtId="166" fontId="34" fillId="3" borderId="0" xfId="0" applyNumberFormat="1" applyFont="1" applyFill="1" applyAlignment="1">
      <alignment horizontal="center"/>
    </xf>
    <xf numFmtId="166" fontId="34" fillId="3" borderId="3" xfId="0" applyNumberFormat="1" applyFont="1" applyFill="1" applyBorder="1" applyAlignment="1">
      <alignment horizontal="center"/>
    </xf>
    <xf numFmtId="0" fontId="36" fillId="3" borderId="0" xfId="0" applyFont="1" applyFill="1" applyAlignment="1">
      <alignment horizontal="left" indent="2"/>
    </xf>
    <xf numFmtId="0" fontId="36" fillId="3" borderId="3" xfId="0" applyFont="1" applyFill="1" applyBorder="1" applyAlignment="1">
      <alignment horizontal="left" indent="2"/>
    </xf>
    <xf numFmtId="164" fontId="34" fillId="3" borderId="2" xfId="0" applyNumberFormat="1" applyFont="1" applyFill="1" applyBorder="1" applyAlignment="1">
      <alignment horizontal="center"/>
    </xf>
    <xf numFmtId="164" fontId="34" fillId="3" borderId="3" xfId="0" applyNumberFormat="1" applyFont="1" applyFill="1" applyBorder="1" applyAlignment="1">
      <alignment horizontal="center"/>
    </xf>
    <xf numFmtId="0" fontId="41" fillId="3" borderId="0" xfId="0" applyFont="1" applyFill="1" applyAlignment="1">
      <alignment horizontal="center"/>
    </xf>
    <xf numFmtId="164" fontId="34" fillId="3" borderId="0" xfId="0" applyNumberFormat="1" applyFont="1" applyFill="1" applyAlignment="1">
      <alignment horizontal="center"/>
    </xf>
    <xf numFmtId="0" fontId="34" fillId="3" borderId="3" xfId="0" applyFont="1" applyFill="1" applyBorder="1"/>
    <xf numFmtId="0" fontId="35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center"/>
    </xf>
    <xf numFmtId="0" fontId="34" fillId="3" borderId="0" xfId="0" applyFont="1" applyFill="1" applyBorder="1"/>
    <xf numFmtId="173" fontId="34" fillId="3" borderId="0" xfId="0" applyNumberFormat="1" applyFont="1" applyFill="1" applyAlignment="1">
      <alignment horizontal="left"/>
    </xf>
    <xf numFmtId="2" fontId="34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2" borderId="1" xfId="1" applyFont="1" applyAlignment="1">
      <alignment horizontal="center"/>
    </xf>
    <xf numFmtId="0" fontId="5" fillId="2" borderId="1" xfId="1" applyFont="1" applyAlignment="1">
      <alignment horizontal="center" vertical="center" wrapText="1"/>
    </xf>
    <xf numFmtId="0" fontId="0" fillId="2" borderId="1" xfId="1" applyFont="1" applyAlignment="1">
      <alignment horizontal="center" vertical="center" wrapText="1"/>
    </xf>
    <xf numFmtId="0" fontId="17" fillId="2" borderId="1" xfId="1" applyFont="1" applyAlignment="1">
      <alignment horizontal="center" vertical="center" wrapText="1"/>
    </xf>
    <xf numFmtId="0" fontId="3" fillId="2" borderId="1" xfId="1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7" fillId="5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35" fillId="3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/>
    </xf>
    <xf numFmtId="0" fontId="39" fillId="3" borderId="0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Alignment="1">
      <alignment horizontal="right" vertical="center"/>
    </xf>
    <xf numFmtId="164" fontId="34" fillId="3" borderId="0" xfId="0" applyNumberFormat="1" applyFont="1" applyFill="1" applyAlignment="1">
      <alignment horizontal="center" vertical="center" wrapText="1"/>
    </xf>
    <xf numFmtId="0" fontId="30" fillId="3" borderId="0" xfId="0" applyFont="1" applyFill="1" applyAlignment="1">
      <alignment horizontal="right" vertical="center"/>
    </xf>
    <xf numFmtId="0" fontId="34" fillId="3" borderId="0" xfId="0" applyFont="1" applyFill="1" applyAlignment="1">
      <alignment horizontal="left"/>
    </xf>
    <xf numFmtId="0" fontId="34" fillId="3" borderId="0" xfId="0" applyFont="1" applyFill="1" applyAlignment="1">
      <alignment horizontal="right" vertical="center" wrapText="1"/>
    </xf>
    <xf numFmtId="0" fontId="36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41</xdr:row>
      <xdr:rowOff>66675</xdr:rowOff>
    </xdr:from>
    <xdr:ext cx="1543049" cy="4492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1 CuadroTexto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838575" y="8181975"/>
              <a:ext cx="1543049" cy="4492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es-PE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</a:rPr>
                              <m:t>𝑁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</a:rPr>
                              <m:t>𝑎𝑑𝑚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</a:rPr>
                              <m:t>𝑘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</a:rPr>
                              <m:t>𝑚</m:t>
                            </m:r>
                          </m:sub>
                        </m:sSub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d>
                          <m:dPr>
                            <m:begChr m:val="|"/>
                            <m:endChr m:val="|"/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𝑀</m:t>
                            </m:r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𝑍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/>
                        <a:ea typeface="Cambria Math"/>
                      </a:rPr>
                      <m:t>&lt;1.0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2" name="1 CuadroTexto"/>
            <xdr:cNvSpPr txBox="1"/>
          </xdr:nvSpPr>
          <xdr:spPr>
            <a:xfrm>
              <a:off x="3838575" y="8181975"/>
              <a:ext cx="1543049" cy="4492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PE" sz="1100" b="0" i="0">
                  <a:latin typeface="Cambria Math"/>
                </a:rPr>
                <a:t>𝑁/𝑁_𝑎𝑑𝑚 +(𝑘_𝑚</a:t>
              </a:r>
              <a:r>
                <a:rPr lang="es-PE" sz="1100" b="0" i="0">
                  <a:latin typeface="Cambria Math"/>
                  <a:ea typeface="Cambria Math"/>
                </a:rPr>
                <a:t>∙|𝑀|)/(</a:t>
              </a:r>
              <a:r>
                <a:rPr lang="es-PE" sz="1100" b="0" i="0">
                  <a:latin typeface="Cambria Math"/>
                </a:rPr>
                <a:t>𝑍</a:t>
              </a:r>
              <a:r>
                <a:rPr lang="es-PE" sz="1100" b="0" i="0">
                  <a:latin typeface="Cambria Math"/>
                  <a:ea typeface="Cambria Math"/>
                </a:rPr>
                <a:t>∙𝑓_𝑚 )&lt;1.0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11</xdr:col>
      <xdr:colOff>495300</xdr:colOff>
      <xdr:row>44</xdr:row>
      <xdr:rowOff>152400</xdr:rowOff>
    </xdr:from>
    <xdr:ext cx="1628776" cy="4206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2 CuadroTexto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6667500" y="8839200"/>
              <a:ext cx="1628776" cy="420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𝑎𝑑𝑚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=0.329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𝑚𝑖𝑛</m:t>
                            </m:r>
                          </m:sub>
                        </m:sSub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𝐴</m:t>
                        </m:r>
                      </m:num>
                      <m:den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𝜆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3" name="2 CuadroTexto"/>
            <xdr:cNvSpPr txBox="1"/>
          </xdr:nvSpPr>
          <xdr:spPr>
            <a:xfrm>
              <a:off x="6667500" y="8839200"/>
              <a:ext cx="1628776" cy="420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PE" sz="1100" b="0" i="0">
                  <a:latin typeface="Cambria Math"/>
                </a:rPr>
                <a:t>𝑁_𝑎𝑑𝑚=0.329</a:t>
              </a:r>
              <a:r>
                <a:rPr lang="es-PE" sz="1100" b="0" i="0">
                  <a:latin typeface="Cambria Math"/>
                  <a:ea typeface="Cambria Math"/>
                </a:rPr>
                <a:t>∙(𝐸_𝑚𝑖𝑛∙𝐴)/𝜆^2 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9</xdr:col>
      <xdr:colOff>314324</xdr:colOff>
      <xdr:row>40</xdr:row>
      <xdr:rowOff>180975</xdr:rowOff>
    </xdr:from>
    <xdr:ext cx="1285875" cy="5743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5400674" y="8105775"/>
              <a:ext cx="1285875" cy="574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𝑘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𝑚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1</m:t>
                        </m:r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1−1.5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𝑁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/>
                                    <a:ea typeface="Cambria Math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/>
                                    <a:ea typeface="Cambria Math"/>
                                  </a:rPr>
                                  <m:t>𝑐𝑟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" name="3 CuadroTexto"/>
            <xdr:cNvSpPr txBox="1"/>
          </xdr:nvSpPr>
          <xdr:spPr>
            <a:xfrm>
              <a:off x="5400674" y="8105775"/>
              <a:ext cx="1285875" cy="574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PE" sz="1100" b="0" i="0">
                  <a:latin typeface="Cambria Math"/>
                </a:rPr>
                <a:t>𝑘_𝑚=1/(1−1.5</a:t>
              </a:r>
              <a:r>
                <a:rPr lang="es-PE" sz="1100" b="0" i="0">
                  <a:latin typeface="Cambria Math"/>
                  <a:ea typeface="Cambria Math"/>
                </a:rPr>
                <a:t>∙𝑁/𝑁_𝑐𝑟 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11</xdr:col>
      <xdr:colOff>676275</xdr:colOff>
      <xdr:row>41</xdr:row>
      <xdr:rowOff>28575</xdr:rowOff>
    </xdr:from>
    <xdr:ext cx="1295400" cy="5265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4 CuadroTexto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6848475" y="8143875"/>
              <a:ext cx="1295400" cy="5265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𝑐𝑟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𝜋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𝐸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𝑚𝑖𝑛</m:t>
                            </m:r>
                          </m:sub>
                        </m:sSub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𝐼</m:t>
                        </m:r>
                      </m:num>
                      <m:den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es-PE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s-PE" sz="1100" b="0" i="1">
                                        <a:latin typeface="Cambria Math"/>
                                      </a:rPr>
                                      <m:t>𝑙</m:t>
                                    </m:r>
                                  </m:e>
                                  <m:sub>
                                    <m:r>
                                      <a:rPr lang="es-PE" sz="1100" b="0" i="1">
                                        <a:latin typeface="Cambria Math"/>
                                      </a:rPr>
                                      <m:t>𝑒𝑓</m:t>
                                    </m:r>
                                  </m:sub>
                                </m:sSub>
                              </m:e>
                            </m:d>
                          </m:e>
                          <m:sup>
                            <m:r>
                              <a:rPr lang="es-PE" sz="1100" b="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5" name="4 CuadroTexto"/>
            <xdr:cNvSpPr txBox="1"/>
          </xdr:nvSpPr>
          <xdr:spPr>
            <a:xfrm>
              <a:off x="6848475" y="8143875"/>
              <a:ext cx="1295400" cy="5265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PE" sz="1100" b="0" i="0">
                  <a:latin typeface="Cambria Math"/>
                </a:rPr>
                <a:t>𝑁_𝑐𝑟=(</a:t>
              </a:r>
              <a:r>
                <a:rPr lang="es-PE" sz="1100" b="0" i="0">
                  <a:latin typeface="Cambria Math"/>
                  <a:ea typeface="Cambria Math"/>
                </a:rPr>
                <a:t>𝜋^</a:t>
              </a:r>
              <a:r>
                <a:rPr lang="es-PE" sz="1100" b="0" i="0">
                  <a:latin typeface="Cambria Math"/>
                </a:rPr>
                <a:t>2</a:t>
              </a:r>
              <a:r>
                <a:rPr lang="es-PE" sz="1100" b="0" i="0">
                  <a:latin typeface="Cambria Math"/>
                  <a:ea typeface="Cambria Math"/>
                </a:rPr>
                <a:t>∙𝐸_𝑚𝑖𝑛∙𝐼)/(</a:t>
              </a:r>
              <a:r>
                <a:rPr lang="es-PE" sz="1100" b="0" i="0">
                  <a:latin typeface="Cambria Math"/>
                </a:rPr>
                <a:t>𝑙_𝑒𝑓 )^2 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6</xdr:col>
      <xdr:colOff>361949</xdr:colOff>
      <xdr:row>45</xdr:row>
      <xdr:rowOff>76200</xdr:rowOff>
    </xdr:from>
    <xdr:ext cx="13811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11 CuadroTexto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2695574" y="9039225"/>
              <a:ext cx="13811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𝑎𝑑𝑚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𝑐</m:t>
                        </m:r>
                      </m:sub>
                    </m:sSub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𝐴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2" name="11 CuadroTexto"/>
            <xdr:cNvSpPr txBox="1"/>
          </xdr:nvSpPr>
          <xdr:spPr>
            <a:xfrm>
              <a:off x="2695574" y="9039225"/>
              <a:ext cx="13811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𝑁_𝑎𝑑𝑚=𝑓_𝑐</a:t>
              </a:r>
              <a:r>
                <a:rPr lang="es-PE" sz="1100" b="0" i="0">
                  <a:latin typeface="Cambria Math"/>
                  <a:ea typeface="Cambria Math"/>
                </a:rPr>
                <a:t>∙𝐴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7</xdr:col>
      <xdr:colOff>571501</xdr:colOff>
      <xdr:row>44</xdr:row>
      <xdr:rowOff>95250</xdr:rowOff>
    </xdr:from>
    <xdr:ext cx="2047874" cy="53405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12 CuadroTexto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124326" y="8867775"/>
              <a:ext cx="2047874" cy="5340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𝑎𝑑𝑚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𝑐</m:t>
                        </m:r>
                      </m:sub>
                    </m:sSub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𝐴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d>
                      <m:d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1−</m:t>
                        </m:r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1</m:t>
                            </m:r>
                          </m:num>
                          <m:den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3</m:t>
                            </m:r>
                          </m:den>
                        </m:f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s-P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s-PE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𝜆</m:t>
                                    </m:r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s-PE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s-PE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s-PE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𝑘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4</m:t>
                            </m:r>
                          </m:sup>
                        </m:sSup>
                      </m:e>
                    </m:d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3" name="12 CuadroTexto"/>
            <xdr:cNvSpPr txBox="1"/>
          </xdr:nvSpPr>
          <xdr:spPr>
            <a:xfrm>
              <a:off x="4124326" y="8867775"/>
              <a:ext cx="2047874" cy="53405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𝑁_𝑎𝑑𝑚=𝑓_𝑐</a:t>
              </a:r>
              <a:r>
                <a:rPr lang="es-PE" sz="1100" b="0" i="0">
                  <a:latin typeface="Cambria Math"/>
                  <a:ea typeface="Cambria Math"/>
                </a:rPr>
                <a:t>∙𝐴∙(1−1/3∙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(𝜆/𝐶_𝑘 )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^</a:t>
              </a:r>
              <a:r>
                <a:rPr lang="es-PE" sz="1100" b="0" i="0">
                  <a:latin typeface="Cambria Math"/>
                  <a:ea typeface="Cambria Math"/>
                </a:rPr>
                <a:t>4 )</a:t>
              </a:r>
              <a:endParaRPr lang="es-PE" sz="1100"/>
            </a:p>
          </xdr:txBody>
        </xdr:sp>
      </mc:Fallback>
    </mc:AlternateContent>
    <xdr:clientData/>
  </xdr:oneCellAnchor>
  <xdr:twoCellAnchor editAs="oneCell">
    <xdr:from>
      <xdr:col>6</xdr:col>
      <xdr:colOff>165715</xdr:colOff>
      <xdr:row>1</xdr:row>
      <xdr:rowOff>161925</xdr:rowOff>
    </xdr:from>
    <xdr:to>
      <xdr:col>14</xdr:col>
      <xdr:colOff>238125</xdr:colOff>
      <xdr:row>21</xdr:row>
      <xdr:rowOff>108865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890" y="447675"/>
          <a:ext cx="5311160" cy="3585490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116</xdr:row>
      <xdr:rowOff>0</xdr:rowOff>
    </xdr:from>
    <xdr:ext cx="1543049" cy="4492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14 CuadroTexto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867150" y="20145375"/>
              <a:ext cx="1543049" cy="4492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</a:rPr>
                              <m:t>𝑡</m:t>
                            </m:r>
                          </m:sub>
                        </m:sSub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𝐴</m:t>
                        </m:r>
                      </m:den>
                    </m:f>
                    <m:r>
                      <a:rPr lang="es-PE" sz="1100" b="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|"/>
                            <m:endChr m:val="|"/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𝑀</m:t>
                            </m:r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𝑍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/>
                        <a:ea typeface="Cambria Math"/>
                      </a:rPr>
                      <m:t>&lt;1.0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5" name="14 CuadroTexto"/>
            <xdr:cNvSpPr txBox="1"/>
          </xdr:nvSpPr>
          <xdr:spPr>
            <a:xfrm>
              <a:off x="3867150" y="20145375"/>
              <a:ext cx="1543049" cy="4492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PE" sz="1100" b="0" i="0">
                  <a:latin typeface="Cambria Math"/>
                </a:rPr>
                <a:t>𝑁/(𝑓_𝑡</a:t>
              </a:r>
              <a:r>
                <a:rPr lang="es-PE" sz="1100" b="0" i="0">
                  <a:latin typeface="Cambria Math"/>
                  <a:ea typeface="Cambria Math"/>
                </a:rPr>
                <a:t>∙𝐴)</a:t>
              </a:r>
              <a:r>
                <a:rPr lang="es-PE" sz="1100" b="0" i="0">
                  <a:latin typeface="Cambria Math"/>
                </a:rPr>
                <a:t>+</a:t>
              </a:r>
              <a:r>
                <a:rPr lang="es-PE" sz="1100" b="0" i="0">
                  <a:latin typeface="Cambria Math"/>
                  <a:ea typeface="Cambria Math"/>
                </a:rPr>
                <a:t>|𝑀|/(</a:t>
              </a:r>
              <a:r>
                <a:rPr lang="es-PE" sz="1100" b="0" i="0">
                  <a:latin typeface="Cambria Math"/>
                </a:rPr>
                <a:t>𝑍</a:t>
              </a:r>
              <a:r>
                <a:rPr lang="es-PE" sz="1100" b="0" i="0">
                  <a:latin typeface="Cambria Math"/>
                  <a:ea typeface="Cambria Math"/>
                </a:rPr>
                <a:t>∙𝑓_𝑚 )&lt;1.0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6</xdr:col>
      <xdr:colOff>790575</xdr:colOff>
      <xdr:row>132</xdr:row>
      <xdr:rowOff>47625</xdr:rowOff>
    </xdr:from>
    <xdr:ext cx="2295523" cy="4754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400425" y="25727025"/>
              <a:ext cx="2295523" cy="4754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i="1">
                            <a:latin typeface="Cambria Math"/>
                            <a:ea typeface="Cambria Math"/>
                          </a:rPr>
                          <m:t>𝛿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𝑓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=1.75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d>
                      <m:d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1.15∙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𝛿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+</m:t>
                        </m:r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𝑤</m:t>
                            </m:r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∙</m:t>
                            </m:r>
                            <m:sSup>
                              <m:sSup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pPr>
                              <m:e>
                                <m:r>
                                  <a:rPr lang="es-PE" sz="1100" b="0" i="1">
                                    <a:latin typeface="Cambria Math"/>
                                    <a:ea typeface="Cambria Math"/>
                                  </a:rPr>
                                  <m:t>𝑙</m:t>
                                </m:r>
                              </m:e>
                              <m:sup>
                                <m:r>
                                  <a:rPr lang="es-PE" sz="1100" b="0" i="1">
                                    <a:latin typeface="Cambria Math"/>
                                    <a:ea typeface="Cambria Math"/>
                                  </a:rPr>
                                  <m:t>4</m:t>
                                </m:r>
                              </m:sup>
                            </m:sSup>
                          </m:num>
                          <m:den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𝐸</m:t>
                            </m:r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∙</m:t>
                            </m:r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𝐼</m:t>
                            </m:r>
                          </m:den>
                        </m:f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10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4</m:t>
                            </m:r>
                          </m:sup>
                        </m:sSup>
                      </m:e>
                    </m:d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" name="5 CuadroTexto"/>
            <xdr:cNvSpPr txBox="1"/>
          </xdr:nvSpPr>
          <xdr:spPr>
            <a:xfrm>
              <a:off x="3400425" y="25727025"/>
              <a:ext cx="2295523" cy="4754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i="0">
                  <a:latin typeface="Cambria Math"/>
                  <a:ea typeface="Cambria Math"/>
                </a:rPr>
                <a:t>𝛿_</a:t>
              </a:r>
              <a:r>
                <a:rPr lang="es-PE" sz="1100" b="0" i="0">
                  <a:latin typeface="Cambria Math"/>
                </a:rPr>
                <a:t>𝑓=1.75</a:t>
              </a:r>
              <a:r>
                <a:rPr lang="es-PE" sz="1100" b="0" i="0">
                  <a:latin typeface="Cambria Math"/>
                  <a:ea typeface="Cambria Math"/>
                </a:rPr>
                <a:t>∙(1.15∙𝛿+(𝑤∙𝑙^4)/(𝐸∙𝐼)∙〖10〗^4 )</a:t>
              </a:r>
              <a:endParaRPr lang="es-PE" sz="1100"/>
            </a:p>
          </xdr:txBody>
        </xdr:sp>
      </mc:Fallback>
    </mc:AlternateContent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708991</xdr:colOff>
      <xdr:row>9</xdr:row>
      <xdr:rowOff>98278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7FF85C6-56F5-4F9D-B773-9B4CC112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0"/>
          <a:ext cx="2232991" cy="1784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</xdr:row>
      <xdr:rowOff>71106</xdr:rowOff>
    </xdr:from>
    <xdr:to>
      <xdr:col>10</xdr:col>
      <xdr:colOff>591319</xdr:colOff>
      <xdr:row>13</xdr:row>
      <xdr:rowOff>115576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328281"/>
          <a:ext cx="2296294" cy="2339995"/>
        </a:xfrm>
        <a:prstGeom prst="rect">
          <a:avLst/>
        </a:prstGeom>
      </xdr:spPr>
    </xdr:pic>
    <xdr:clientData/>
  </xdr:twoCellAnchor>
  <xdr:oneCellAnchor>
    <xdr:from>
      <xdr:col>3</xdr:col>
      <xdr:colOff>19050</xdr:colOff>
      <xdr:row>21</xdr:row>
      <xdr:rowOff>57150</xdr:rowOff>
    </xdr:from>
    <xdr:ext cx="914400" cy="4092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2 CuadroText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1114425" y="4124325"/>
              <a:ext cx="914400" cy="4092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i="1">
                            <a:latin typeface="Cambria Math"/>
                            <a:ea typeface="Cambria Math"/>
                          </a:rPr>
                          <m:t>∆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𝑚𝑎𝑥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&lt;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𝐿</m:t>
                        </m:r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250</m:t>
                        </m:r>
                      </m:den>
                    </m:f>
                  </m:oMath>
                </m:oMathPara>
              </a14:m>
              <a:endParaRPr lang="es-PE" sz="1100" b="0"/>
            </a:p>
          </xdr:txBody>
        </xdr:sp>
      </mc:Choice>
      <mc:Fallback xmlns="">
        <xdr:sp macro="" textlink="">
          <xdr:nvSpPr>
            <xdr:cNvPr id="3" name="2 CuadroTexto"/>
            <xdr:cNvSpPr txBox="1"/>
          </xdr:nvSpPr>
          <xdr:spPr>
            <a:xfrm>
              <a:off x="1114425" y="4124325"/>
              <a:ext cx="914400" cy="4092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PE" sz="1100" i="0">
                  <a:latin typeface="Cambria Math"/>
                  <a:ea typeface="Cambria Math"/>
                </a:rPr>
                <a:t>∆_</a:t>
              </a:r>
              <a:r>
                <a:rPr lang="es-PE" sz="1100" b="0" i="0">
                  <a:latin typeface="Cambria Math"/>
                </a:rPr>
                <a:t>𝑚𝑎𝑥&lt;𝐿/250</a:t>
              </a:r>
              <a:endParaRPr lang="es-PE" sz="1100" b="0"/>
            </a:p>
          </xdr:txBody>
        </xdr:sp>
      </mc:Fallback>
    </mc:AlternateContent>
    <xdr:clientData/>
  </xdr:oneCellAnchor>
  <xdr:oneCellAnchor>
    <xdr:from>
      <xdr:col>8</xdr:col>
      <xdr:colOff>342900</xdr:colOff>
      <xdr:row>21</xdr:row>
      <xdr:rowOff>47625</xdr:rowOff>
    </xdr:from>
    <xdr:ext cx="914400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4152900" y="4114800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i="1">
                            <a:latin typeface="Cambria Math"/>
                            <a:ea typeface="Cambria Math"/>
                          </a:rPr>
                          <m:t>∆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𝑚𝑎𝑥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𝐿</m:t>
                        </m:r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350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" name="3 CuadroTexto"/>
            <xdr:cNvSpPr txBox="1"/>
          </xdr:nvSpPr>
          <xdr:spPr>
            <a:xfrm>
              <a:off x="4152900" y="4114800"/>
              <a:ext cx="914400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PE" sz="1100" i="0">
                  <a:latin typeface="Cambria Math"/>
                  <a:ea typeface="Cambria Math"/>
                </a:rPr>
                <a:t>∆_</a:t>
              </a:r>
              <a:r>
                <a:rPr lang="es-PE" sz="1100" b="0" i="0">
                  <a:latin typeface="Cambria Math"/>
                </a:rPr>
                <a:t>𝑚𝑎𝑥=𝐿/350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6</xdr:col>
      <xdr:colOff>828674</xdr:colOff>
      <xdr:row>34</xdr:row>
      <xdr:rowOff>19050</xdr:rowOff>
    </xdr:from>
    <xdr:ext cx="1304925" cy="4321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4 CuadroTexto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3314699" y="6562725"/>
              <a:ext cx="1304925" cy="4321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𝑀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𝑚𝑎𝑥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𝑊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𝐿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8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5" name="4 CuadroTexto"/>
            <xdr:cNvSpPr txBox="1"/>
          </xdr:nvSpPr>
          <xdr:spPr>
            <a:xfrm>
              <a:off x="3314699" y="6562725"/>
              <a:ext cx="1304925" cy="4321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𝑀_𝑚𝑎𝑥=(𝑊</a:t>
              </a:r>
              <a:r>
                <a:rPr lang="es-PE" sz="1100" b="0" i="0">
                  <a:latin typeface="Cambria Math"/>
                  <a:ea typeface="Cambria Math"/>
                </a:rPr>
                <a:t>∙𝐿^2)/</a:t>
              </a:r>
              <a:r>
                <a:rPr lang="es-PE" sz="1100" b="0" i="0">
                  <a:latin typeface="Cambria Math"/>
                </a:rPr>
                <a:t>8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7</xdr:col>
      <xdr:colOff>28575</xdr:colOff>
      <xdr:row>36</xdr:row>
      <xdr:rowOff>76200</xdr:rowOff>
    </xdr:from>
    <xdr:ext cx="1066800" cy="408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3486150" y="7000875"/>
              <a:ext cx="1066800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𝑉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𝑚𝑎𝑥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𝑊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𝐿</m:t>
                        </m:r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6" name="5 CuadroTexto"/>
            <xdr:cNvSpPr txBox="1"/>
          </xdr:nvSpPr>
          <xdr:spPr>
            <a:xfrm>
              <a:off x="3486150" y="7000875"/>
              <a:ext cx="1066800" cy="40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𝑉_𝑚𝑎𝑥=(𝑊</a:t>
              </a:r>
              <a:r>
                <a:rPr lang="es-PE" sz="1100" b="0" i="0">
                  <a:latin typeface="Cambria Math"/>
                  <a:ea typeface="Cambria Math"/>
                </a:rPr>
                <a:t>∙𝐿)/</a:t>
              </a:r>
              <a:r>
                <a:rPr lang="es-PE" sz="1100" b="0" i="0">
                  <a:latin typeface="Cambria Math"/>
                </a:rPr>
                <a:t>2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6</xdr:col>
      <xdr:colOff>28574</xdr:colOff>
      <xdr:row>38</xdr:row>
      <xdr:rowOff>142875</xdr:rowOff>
    </xdr:from>
    <xdr:ext cx="1714501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6 CuadroTexto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2514599" y="7448550"/>
              <a:ext cx="1714501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/>
                          </a:rPr>
                          <m:t>𝑊</m:t>
                        </m:r>
                      </m:e>
                      <m:sub>
                        <m:r>
                          <a:rPr lang="es-PE" sz="1100" b="0" i="1">
                            <a:latin typeface="Cambria Math"/>
                          </a:rPr>
                          <m:t>𝑒𝑞</m:t>
                        </m:r>
                      </m:sub>
                    </m:sSub>
                    <m:r>
                      <a:rPr lang="es-PE" sz="1100" b="0" i="1">
                        <a:latin typeface="Cambria Math"/>
                      </a:rPr>
                      <m:t>=1.8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∙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𝑊𝑑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+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𝑊𝑙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" name="6 CuadroTexto"/>
            <xdr:cNvSpPr txBox="1"/>
          </xdr:nvSpPr>
          <xdr:spPr>
            <a:xfrm>
              <a:off x="2514599" y="7448550"/>
              <a:ext cx="1714501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𝑊_𝑒𝑞=1.8</a:t>
              </a:r>
              <a:r>
                <a:rPr lang="es-PE" sz="1100" b="0" i="0">
                  <a:latin typeface="Cambria Math"/>
                  <a:ea typeface="Cambria Math"/>
                </a:rPr>
                <a:t>∙𝑊𝑑+𝑊𝑙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228600</xdr:colOff>
      <xdr:row>56</xdr:row>
      <xdr:rowOff>152400</xdr:rowOff>
    </xdr:from>
    <xdr:ext cx="914400" cy="412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7 CuadroTexto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228600" y="10896600"/>
              <a:ext cx="914400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i="1">
                        <a:latin typeface="Cambria Math"/>
                        <a:ea typeface="Cambria Math"/>
                      </a:rPr>
                      <m:t>𝜏</m:t>
                    </m:r>
                    <m:r>
                      <a:rPr lang="es-PE" sz="1100" b="0" i="1">
                        <a:latin typeface="Cambria Math"/>
                        <a:ea typeface="Cambria Math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1.5∙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/>
                                <a:ea typeface="Cambria Math"/>
                              </a:rPr>
                              <m:t>h</m:t>
                            </m:r>
                          </m:sub>
                        </m:sSub>
                      </m:num>
                      <m:den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𝑏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h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8" name="7 CuadroTexto"/>
            <xdr:cNvSpPr txBox="1"/>
          </xdr:nvSpPr>
          <xdr:spPr>
            <a:xfrm>
              <a:off x="228600" y="10896600"/>
              <a:ext cx="914400" cy="412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PE" sz="1100" i="0">
                  <a:latin typeface="Cambria Math"/>
                  <a:ea typeface="Cambria Math"/>
                </a:rPr>
                <a:t>𝜏</a:t>
              </a:r>
              <a:r>
                <a:rPr lang="es-PE" sz="1100" b="0" i="0">
                  <a:latin typeface="Cambria Math"/>
                  <a:ea typeface="Cambria Math"/>
                </a:rPr>
                <a:t>=(1.5∙𝑉_ℎ)/(𝑏∙ℎ)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133350</xdr:colOff>
      <xdr:row>69</xdr:row>
      <xdr:rowOff>57150</xdr:rowOff>
    </xdr:from>
    <xdr:ext cx="914400" cy="438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8 CuadroTexto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133350" y="11944350"/>
              <a:ext cx="9144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/>
                      </a:rPr>
                      <m:t>𝑎</m:t>
                    </m:r>
                    <m:r>
                      <a:rPr lang="es-PE" sz="1100" b="0" i="1">
                        <a:latin typeface="Cambria Math"/>
                      </a:rPr>
                      <m:t>&gt;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/>
                          </a:rPr>
                          <m:t>𝑅</m:t>
                        </m:r>
                      </m:num>
                      <m:den>
                        <m:r>
                          <a:rPr lang="es-PE" sz="1100" b="0" i="1">
                            <a:latin typeface="Cambria Math"/>
                          </a:rPr>
                          <m:t>𝑏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s-PE" sz="1100" b="0" i="1">
                            <a:latin typeface="Cambria Math"/>
                            <a:ea typeface="Cambria Math"/>
                          </a:rPr>
                          <m:t>𝑓𝑐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9" name="8 CuadroTexto"/>
            <xdr:cNvSpPr txBox="1"/>
          </xdr:nvSpPr>
          <xdr:spPr>
            <a:xfrm>
              <a:off x="133350" y="11944350"/>
              <a:ext cx="914400" cy="438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PE" sz="1100" b="0" i="0">
                  <a:latin typeface="Cambria Math"/>
                </a:rPr>
                <a:t>𝑎&gt;𝑅/(𝑏</a:t>
              </a:r>
              <a:r>
                <a:rPr lang="es-PE" sz="1100" b="0" i="0">
                  <a:latin typeface="Cambria Math"/>
                  <a:ea typeface="Cambria Math"/>
                </a:rPr>
                <a:t>∙𝑓𝑐)</a:t>
              </a:r>
              <a:endParaRPr lang="es-PE" sz="1100"/>
            </a:p>
          </xdr:txBody>
        </xdr:sp>
      </mc:Fallback>
    </mc:AlternateContent>
    <xdr:clientData/>
  </xdr:oneCellAnchor>
  <xdr:twoCellAnchor editAs="oneCell">
    <xdr:from>
      <xdr:col>11</xdr:col>
      <xdr:colOff>209549</xdr:colOff>
      <xdr:row>50</xdr:row>
      <xdr:rowOff>129474</xdr:rowOff>
    </xdr:from>
    <xdr:to>
      <xdr:col>21</xdr:col>
      <xdr:colOff>439012</xdr:colOff>
      <xdr:row>75</xdr:row>
      <xdr:rowOff>57865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4" y="9730674"/>
          <a:ext cx="5658713" cy="46908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708991</xdr:colOff>
      <xdr:row>8</xdr:row>
      <xdr:rowOff>184003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2530B6-EF12-45A0-A562-626DAFCE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0" y="0"/>
          <a:ext cx="2232991" cy="17842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16</xdr:row>
      <xdr:rowOff>0</xdr:rowOff>
    </xdr:from>
    <xdr:ext cx="1191480" cy="3568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419350" y="2933700"/>
              <a:ext cx="1191480" cy="356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𝑎𝑑𝑚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𝐾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  <m:d>
                          <m:dPr>
                            <m:begChr m:val="|"/>
                            <m:endChr m:val="|"/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2419350" y="2933700"/>
              <a:ext cx="1191480" cy="356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𝑁/𝑁_𝑎𝑑𝑚 +(𝐾_𝑚 |𝑀|)/(𝑍𝑓_𝑚 )&lt;1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5</xdr:col>
      <xdr:colOff>400050</xdr:colOff>
      <xdr:row>19</xdr:row>
      <xdr:rowOff>47625</xdr:rowOff>
    </xdr:from>
    <xdr:ext cx="903132" cy="3568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900-000003000000}"/>
                </a:ext>
              </a:extLst>
            </xdr:cNvPr>
            <xdr:cNvSpPr txBox="1"/>
          </xdr:nvSpPr>
          <xdr:spPr>
            <a:xfrm>
              <a:off x="2419350" y="3467100"/>
              <a:ext cx="903132" cy="356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|"/>
                            <m:endChr m:val="|"/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𝑀</m:t>
                            </m:r>
                          </m:e>
                        </m:d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𝑍</m:t>
                        </m:r>
                        <m:sSub>
                          <m:sSub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</a:rPr>
                      <m:t>&lt;1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2419350" y="3467100"/>
              <a:ext cx="903132" cy="3568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𝑁/(𝐴𝑓_𝑡 )+|𝑀|/(𝑍𝑓_𝑚 )&lt;1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7</xdr:col>
      <xdr:colOff>428625</xdr:colOff>
      <xdr:row>15</xdr:row>
      <xdr:rowOff>133350</xdr:rowOff>
    </xdr:from>
    <xdr:ext cx="1068754" cy="4819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SpPr txBox="1"/>
          </xdr:nvSpPr>
          <xdr:spPr>
            <a:xfrm>
              <a:off x="3876675" y="2905125"/>
              <a:ext cx="1068754" cy="4819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1−1.5</m:t>
                        </m:r>
                        <m:f>
                          <m:f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𝑁</m:t>
                                </m:r>
                              </m:e>
                              <m:sub>
                                <m:r>
                                  <a:rPr lang="es-PE" sz="1100" b="0" i="1">
                                    <a:latin typeface="Cambria Math" panose="02040503050406030204" pitchFamily="18" charset="0"/>
                                  </a:rPr>
                                  <m:t>𝑐𝑟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3876675" y="2905125"/>
              <a:ext cx="1068754" cy="4819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𝐾_𝑚=1/(1−1.5 𝑁/𝑁_𝑐𝑟 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7</xdr:col>
      <xdr:colOff>476250</xdr:colOff>
      <xdr:row>19</xdr:row>
      <xdr:rowOff>104775</xdr:rowOff>
    </xdr:from>
    <xdr:ext cx="725711" cy="418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SpPr txBox="1"/>
          </xdr:nvSpPr>
          <xdr:spPr>
            <a:xfrm>
              <a:off x="3924300" y="3524250"/>
              <a:ext cx="725711" cy="418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𝑐𝑟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𝐸𝐼</m:t>
                        </m:r>
                      </m:num>
                      <m:den>
                        <m:sSubSup>
                          <m:sSubSupPr>
                            <m:ctrlPr>
                              <a:rPr lang="es-PE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𝑒𝑓</m:t>
                            </m:r>
                          </m:sub>
                          <m:sup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3924300" y="3524250"/>
              <a:ext cx="725711" cy="418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𝑁_𝑐𝑟=(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𝜋^</a:t>
              </a:r>
              <a:r>
                <a:rPr lang="es-PE" sz="1100" b="0" i="0">
                  <a:latin typeface="Cambria Math" panose="02040503050406030204" pitchFamily="18" charset="0"/>
                </a:rPr>
                <a:t>2 𝐸𝐼)/(𝑙_𝑒𝑓^2 )</a:t>
              </a:r>
              <a:endParaRPr lang="es-PE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137"/>
  <sheetViews>
    <sheetView topLeftCell="A4" workbookViewId="0">
      <selection activeCell="B21" sqref="B21"/>
    </sheetView>
  </sheetViews>
  <sheetFormatPr baseColWidth="10" defaultRowHeight="15" x14ac:dyDescent="0.25"/>
  <cols>
    <col min="3" max="3" width="17.7109375" customWidth="1"/>
    <col min="4" max="4" width="8.140625" customWidth="1"/>
    <col min="5" max="5" width="7.42578125" customWidth="1"/>
    <col min="6" max="6" width="5.85546875" customWidth="1"/>
    <col min="7" max="7" width="18.28515625" customWidth="1"/>
    <col min="8" max="8" width="11.85546875" bestFit="1" customWidth="1"/>
    <col min="9" max="9" width="7" bestFit="1" customWidth="1"/>
    <col min="11" max="11" width="4.85546875" bestFit="1" customWidth="1"/>
    <col min="13" max="13" width="8" customWidth="1"/>
    <col min="14" max="14" width="5.7109375" customWidth="1"/>
  </cols>
  <sheetData>
    <row r="1" spans="3:15" ht="22.5" x14ac:dyDescent="0.3">
      <c r="C1" s="113" t="s">
        <v>122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3" spans="3:15" x14ac:dyDescent="0.25">
      <c r="C3" t="s">
        <v>174</v>
      </c>
      <c r="D3" s="53" t="s">
        <v>15</v>
      </c>
    </row>
    <row r="4" spans="3:15" x14ac:dyDescent="0.25">
      <c r="C4" s="7" t="s">
        <v>106</v>
      </c>
      <c r="D4" s="2">
        <f>VLOOKUP(D3,Parámetros!O4:V6,2,FALSE)</f>
        <v>55000</v>
      </c>
      <c r="E4" t="s">
        <v>113</v>
      </c>
    </row>
    <row r="5" spans="3:15" x14ac:dyDescent="0.25">
      <c r="C5" s="7" t="s">
        <v>108</v>
      </c>
      <c r="D5" s="3">
        <f>VLOOKUP(D3,Parámetros!O4:V6,4,FALSE)</f>
        <v>100</v>
      </c>
      <c r="E5" t="s">
        <v>113</v>
      </c>
    </row>
    <row r="6" spans="3:15" x14ac:dyDescent="0.25">
      <c r="C6" s="7" t="s">
        <v>109</v>
      </c>
      <c r="D6" s="3">
        <f>VLOOKUP(D3,Parámetros!O4:V6,5,FALSE)</f>
        <v>80</v>
      </c>
      <c r="E6" t="s">
        <v>113</v>
      </c>
    </row>
    <row r="7" spans="3:15" x14ac:dyDescent="0.25">
      <c r="C7" s="7" t="s">
        <v>112</v>
      </c>
      <c r="D7" s="3">
        <f>VLOOKUP(D3,Parámetros!O4:V6,8,FALSE)</f>
        <v>75</v>
      </c>
      <c r="E7" t="s">
        <v>113</v>
      </c>
    </row>
    <row r="8" spans="3:15" x14ac:dyDescent="0.25">
      <c r="C8" s="7" t="s">
        <v>111</v>
      </c>
      <c r="D8" s="3">
        <f>VLOOKUP(D3,Parámetros!O4:V6,7,FALSE)</f>
        <v>8</v>
      </c>
      <c r="E8" t="s">
        <v>113</v>
      </c>
    </row>
    <row r="9" spans="3:15" ht="5.25" customHeight="1" x14ac:dyDescent="0.25">
      <c r="C9" s="7"/>
    </row>
    <row r="10" spans="3:15" ht="17.25" x14ac:dyDescent="0.35">
      <c r="C10" s="17" t="s">
        <v>123</v>
      </c>
      <c r="D10" s="53">
        <v>2.0615999999999999</v>
      </c>
      <c r="E10" t="s">
        <v>116</v>
      </c>
    </row>
    <row r="11" spans="3:15" ht="17.25" x14ac:dyDescent="0.35">
      <c r="C11" s="17" t="s">
        <v>124</v>
      </c>
      <c r="D11" s="53">
        <v>2.0615999999999999</v>
      </c>
      <c r="E11" t="s">
        <v>116</v>
      </c>
    </row>
    <row r="12" spans="3:15" ht="17.25" x14ac:dyDescent="0.35">
      <c r="C12" s="17" t="s">
        <v>125</v>
      </c>
      <c r="D12" s="54">
        <v>0</v>
      </c>
      <c r="E12" t="s">
        <v>116</v>
      </c>
    </row>
    <row r="14" spans="3:15" ht="5.25" customHeight="1" x14ac:dyDescent="0.25"/>
    <row r="15" spans="3:15" ht="15.75" x14ac:dyDescent="0.25">
      <c r="C15" s="24" t="s">
        <v>145</v>
      </c>
      <c r="D15" s="55">
        <v>4</v>
      </c>
      <c r="E15" t="s">
        <v>116</v>
      </c>
    </row>
    <row r="16" spans="3:15" ht="15.75" x14ac:dyDescent="0.25">
      <c r="C16" s="24" t="s">
        <v>146</v>
      </c>
      <c r="D16" s="55">
        <v>4</v>
      </c>
      <c r="E16" t="s">
        <v>116</v>
      </c>
    </row>
    <row r="17" spans="3:14" ht="15.75" x14ac:dyDescent="0.25">
      <c r="C17" s="24" t="s">
        <v>147</v>
      </c>
      <c r="D17" s="55">
        <v>0</v>
      </c>
      <c r="E17" t="s">
        <v>116</v>
      </c>
    </row>
    <row r="18" spans="3:14" ht="5.25" customHeight="1" x14ac:dyDescent="0.35">
      <c r="C18" s="17"/>
      <c r="D18" s="3"/>
    </row>
    <row r="19" spans="3:14" ht="17.25" x14ac:dyDescent="0.35">
      <c r="C19" s="17" t="s">
        <v>14</v>
      </c>
      <c r="D19" s="55">
        <v>4</v>
      </c>
      <c r="E19" t="s">
        <v>116</v>
      </c>
    </row>
    <row r="20" spans="3:14" ht="17.25" x14ac:dyDescent="0.35">
      <c r="C20" s="17" t="s">
        <v>135</v>
      </c>
      <c r="D20" s="55">
        <v>1</v>
      </c>
      <c r="E20" t="s">
        <v>116</v>
      </c>
    </row>
    <row r="21" spans="3:14" ht="17.25" x14ac:dyDescent="0.35">
      <c r="C21" s="17" t="s">
        <v>136</v>
      </c>
      <c r="D21">
        <f>ATAN(D20/D19)*180/PI()</f>
        <v>14.036243467926477</v>
      </c>
      <c r="E21" t="s">
        <v>137</v>
      </c>
    </row>
    <row r="23" spans="3:14" x14ac:dyDescent="0.25">
      <c r="C23" t="s">
        <v>127</v>
      </c>
    </row>
    <row r="24" spans="3:14" x14ac:dyDescent="0.25">
      <c r="J24" t="s">
        <v>140</v>
      </c>
    </row>
    <row r="25" spans="3:14" x14ac:dyDescent="0.25">
      <c r="C25" t="s">
        <v>132</v>
      </c>
    </row>
    <row r="26" spans="3:14" x14ac:dyDescent="0.25">
      <c r="C26" t="s">
        <v>130</v>
      </c>
      <c r="D26" s="56">
        <v>80</v>
      </c>
      <c r="E26" t="s">
        <v>129</v>
      </c>
      <c r="J26" t="s">
        <v>141</v>
      </c>
    </row>
    <row r="27" spans="3:14" ht="30" x14ac:dyDescent="0.25">
      <c r="C27" s="19" t="s">
        <v>131</v>
      </c>
      <c r="D27" s="56">
        <v>5</v>
      </c>
      <c r="E27" t="s">
        <v>129</v>
      </c>
      <c r="G27" s="22" t="s">
        <v>128</v>
      </c>
      <c r="H27" s="56">
        <v>10</v>
      </c>
      <c r="I27" s="22" t="s">
        <v>129</v>
      </c>
      <c r="J27" s="115" t="str">
        <f>CONCATENATE("Wp = (",H29," + ",ROUND(D29,2)," + ",H27,")x",D31," = ")</f>
        <v xml:space="preserve">Wp = (40 + 87.62 + 10)x1.5 = </v>
      </c>
      <c r="K27" s="115"/>
      <c r="L27" s="115"/>
      <c r="M27" s="3">
        <f>ROUND((H29+D29+H27)*D31,2)</f>
        <v>206.42</v>
      </c>
      <c r="N27" t="s">
        <v>144</v>
      </c>
    </row>
    <row r="28" spans="3:14" x14ac:dyDescent="0.25">
      <c r="C28" t="s">
        <v>133</v>
      </c>
      <c r="D28" s="3">
        <f>SUM(D26:D27)</f>
        <v>85</v>
      </c>
      <c r="E28" t="s">
        <v>129</v>
      </c>
      <c r="G28" t="s">
        <v>139</v>
      </c>
      <c r="H28" s="56">
        <v>30</v>
      </c>
      <c r="I28" t="s">
        <v>129</v>
      </c>
    </row>
    <row r="29" spans="3:14" x14ac:dyDescent="0.25">
      <c r="C29" t="s">
        <v>134</v>
      </c>
      <c r="D29">
        <f>D28/COS(D21*PI()/180)</f>
        <v>87.615994544375283</v>
      </c>
      <c r="E29" t="s">
        <v>129</v>
      </c>
      <c r="G29" t="s">
        <v>138</v>
      </c>
      <c r="H29" s="56">
        <v>40</v>
      </c>
      <c r="I29" t="s">
        <v>129</v>
      </c>
      <c r="J29" t="s">
        <v>142</v>
      </c>
    </row>
    <row r="30" spans="3:14" x14ac:dyDescent="0.25">
      <c r="J30" s="115" t="str">
        <f>CONCATENATE("Wq = ",H28,"x",D31," = ")</f>
        <v xml:space="preserve">Wq = 30x1.5 = </v>
      </c>
      <c r="K30" s="115"/>
      <c r="L30" s="115"/>
      <c r="M30" s="20">
        <f>ROUND(H28*D31,2)</f>
        <v>45</v>
      </c>
      <c r="N30" t="s">
        <v>144</v>
      </c>
    </row>
    <row r="31" spans="3:14" ht="30" x14ac:dyDescent="0.25">
      <c r="C31" s="19" t="s">
        <v>143</v>
      </c>
      <c r="D31" s="56">
        <v>1.5</v>
      </c>
      <c r="E31" s="18" t="s">
        <v>116</v>
      </c>
    </row>
    <row r="33" spans="3:15" x14ac:dyDescent="0.25">
      <c r="C33" t="s">
        <v>148</v>
      </c>
      <c r="G33" t="s">
        <v>2</v>
      </c>
      <c r="H33" s="53" t="s">
        <v>50</v>
      </c>
      <c r="I33" t="s">
        <v>121</v>
      </c>
      <c r="J33" s="3" t="str">
        <f>VLOOKUP(H33,Parámetros!A7:K70,2,FALSE)</f>
        <v>2" x 8"</v>
      </c>
      <c r="K33" t="s">
        <v>154</v>
      </c>
    </row>
    <row r="34" spans="3:15" x14ac:dyDescent="0.25">
      <c r="G34" s="7" t="s">
        <v>4</v>
      </c>
      <c r="H34" s="2">
        <f>VLOOKUP(H33,Parámetros!A7:K70,3,FALSE)</f>
        <v>76</v>
      </c>
      <c r="I34" t="s">
        <v>96</v>
      </c>
    </row>
    <row r="35" spans="3:15" x14ac:dyDescent="0.25">
      <c r="C35" t="s">
        <v>100</v>
      </c>
      <c r="G35" s="7" t="s">
        <v>95</v>
      </c>
      <c r="H35" s="2">
        <f>VLOOKUP(H33,Parámetros!A7:K70,4,FALSE)</f>
        <v>2286.3000000000002</v>
      </c>
      <c r="I35" t="s">
        <v>97</v>
      </c>
    </row>
    <row r="36" spans="3:15" x14ac:dyDescent="0.25">
      <c r="C36" t="s">
        <v>103</v>
      </c>
      <c r="D36" s="53">
        <v>3257.41</v>
      </c>
      <c r="E36" t="s">
        <v>101</v>
      </c>
      <c r="F36" t="s">
        <v>15</v>
      </c>
      <c r="G36" s="7" t="s">
        <v>8</v>
      </c>
      <c r="H36" s="2">
        <f>VLOOKUP(H33,Parámetros!A7:K70,5,FALSE)</f>
        <v>240.6</v>
      </c>
      <c r="I36" t="s">
        <v>98</v>
      </c>
    </row>
    <row r="37" spans="3:15" x14ac:dyDescent="0.25">
      <c r="C37" t="s">
        <v>104</v>
      </c>
      <c r="D37" s="53">
        <v>86.2</v>
      </c>
      <c r="E37" t="s">
        <v>102</v>
      </c>
    </row>
    <row r="39" spans="3:15" x14ac:dyDescent="0.25">
      <c r="C39" t="s">
        <v>0</v>
      </c>
      <c r="D39" s="57">
        <f>MAX(0.4*(D10+D11),0.4*(D11+D12))</f>
        <v>1.6492800000000001</v>
      </c>
      <c r="E39" t="s">
        <v>116</v>
      </c>
    </row>
    <row r="40" spans="3:15" x14ac:dyDescent="0.25">
      <c r="C40" t="s">
        <v>1</v>
      </c>
      <c r="D40" s="57">
        <f>MAX(AVERAGE(D15:D16),AVERAGE(D16:D17))</f>
        <v>4</v>
      </c>
      <c r="E40" t="s">
        <v>116</v>
      </c>
    </row>
    <row r="42" spans="3:15" x14ac:dyDescent="0.25">
      <c r="C42" t="s">
        <v>99</v>
      </c>
    </row>
    <row r="44" spans="3:15" x14ac:dyDescent="0.25">
      <c r="C44" s="8" t="s">
        <v>117</v>
      </c>
      <c r="D44">
        <f>D39*100/VLOOKUP(H33,Parámetros!A7:L70,12,FALSE)</f>
        <v>8.6804210526315781</v>
      </c>
    </row>
    <row r="45" spans="3:15" x14ac:dyDescent="0.25">
      <c r="C45" s="7" t="s">
        <v>149</v>
      </c>
      <c r="D45">
        <f>0.7025*SQRT(D4/D6)</f>
        <v>18.419705395988288</v>
      </c>
    </row>
    <row r="46" spans="3:15" x14ac:dyDescent="0.25">
      <c r="C46" s="58" t="str">
        <f>IF(D44&lt;10,"Columna"," ")</f>
        <v>Columna</v>
      </c>
      <c r="D46" s="59" t="str">
        <f>IF(D44&lt;10,"Corta"," ")</f>
        <v>Corta</v>
      </c>
      <c r="F46" s="23">
        <f>IF(D44&lt;10,D6*H34," ")</f>
        <v>6080</v>
      </c>
    </row>
    <row r="47" spans="3:15" x14ac:dyDescent="0.25">
      <c r="C47" s="16" t="str">
        <f>IF(AND(10&lt;D44,D44&lt;D45)=TRUE,"Columna"," ")</f>
        <v xml:space="preserve"> </v>
      </c>
      <c r="D47" t="str">
        <f>IF(AND(10&lt;D44,D44&lt;D45)=TRUE,"Intermedia"," ")</f>
        <v xml:space="preserve"> </v>
      </c>
      <c r="F47" s="66" t="str">
        <f>IF(AND(10&lt;D44,D44&lt;D45)=TRUE,D6*H34*(1-(1/3)*(D44/D45)^4)," ")</f>
        <v xml:space="preserve"> </v>
      </c>
    </row>
    <row r="48" spans="3:15" x14ac:dyDescent="0.25">
      <c r="C48" s="16" t="str">
        <f>IF(AND(D45&lt;D44,D44&lt;50)=TRUE,"Columna"," ")</f>
        <v xml:space="preserve"> </v>
      </c>
      <c r="D48" t="str">
        <f>IF(AND(D45&lt;D44,D44&lt;50)=TRUE,"Larga"," ")</f>
        <v xml:space="preserve"> </v>
      </c>
      <c r="F48" s="23" t="str">
        <f>IF(AND(D45&lt;D44,D44&lt;50)=TRUE,0.329*D4*H34/D44^2," ")</f>
        <v xml:space="preserve"> </v>
      </c>
      <c r="G48" s="112" t="s">
        <v>150</v>
      </c>
      <c r="H48" s="112"/>
      <c r="I48" s="112" t="s">
        <v>151</v>
      </c>
      <c r="J48" s="112"/>
      <c r="K48" s="112"/>
      <c r="M48" s="112" t="s">
        <v>152</v>
      </c>
      <c r="N48" s="112"/>
      <c r="O48" s="112"/>
    </row>
    <row r="49" spans="3:13" x14ac:dyDescent="0.25">
      <c r="C49" s="9" t="str">
        <f>IF(D44&gt;=50,"El Elemento es Inestable, cambiar de Sección"," ")</f>
        <v xml:space="preserve"> </v>
      </c>
    </row>
    <row r="51" spans="3:13" x14ac:dyDescent="0.25">
      <c r="C51" s="7" t="s">
        <v>105</v>
      </c>
      <c r="D51" s="15">
        <f>MAX(F46:F48)</f>
        <v>6080</v>
      </c>
      <c r="E51" t="s">
        <v>101</v>
      </c>
      <c r="H51" s="10" t="s">
        <v>118</v>
      </c>
      <c r="L51" s="2">
        <f>ROUNDDOWN(D44*VLOOKUP(H33,Parámetros!A7:M70,13,FALSE),0)</f>
        <v>34</v>
      </c>
      <c r="M51" t="s">
        <v>121</v>
      </c>
    </row>
    <row r="52" spans="3:13" x14ac:dyDescent="0.25">
      <c r="C52" s="7" t="s">
        <v>114</v>
      </c>
      <c r="D52">
        <f>(PI()^2)*D4*H35/(D39*100)^2</f>
        <v>45625.419036022293</v>
      </c>
      <c r="E52" t="s">
        <v>101</v>
      </c>
    </row>
    <row r="53" spans="3:13" x14ac:dyDescent="0.25">
      <c r="C53" s="7" t="s">
        <v>115</v>
      </c>
      <c r="D53">
        <f>(1-1.5*D36/D52)^-1</f>
        <v>1.119936143132922</v>
      </c>
    </row>
    <row r="54" spans="3:13" x14ac:dyDescent="0.25">
      <c r="C54" s="112" t="str">
        <f>CONCATENATE(ROUND(D36/D51+D53*D37*100/(H36*D5),2),"  &lt;  1.0 ")</f>
        <v xml:space="preserve">0.94  &lt;  1.0 </v>
      </c>
      <c r="D54" s="112"/>
      <c r="E54" s="112"/>
      <c r="F54" s="9" t="str">
        <f>IF(ROUND(D36/D51+D53*D37*100/(H36*D5),2)&lt;1,"………….(OK)","……………(Cambiar Sección)")</f>
        <v>………….(OK)</v>
      </c>
    </row>
    <row r="66" spans="3:12" x14ac:dyDescent="0.25">
      <c r="C66" t="s">
        <v>155</v>
      </c>
      <c r="G66" t="s">
        <v>2</v>
      </c>
      <c r="H66" s="53" t="s">
        <v>31</v>
      </c>
      <c r="I66" t="s">
        <v>121</v>
      </c>
      <c r="J66" s="15" t="str">
        <f>VLOOKUP(H66,Parámetros!A7:K70,2,FALSE)</f>
        <v>1" x 3"</v>
      </c>
      <c r="K66" t="s">
        <v>154</v>
      </c>
    </row>
    <row r="67" spans="3:12" x14ac:dyDescent="0.25">
      <c r="G67" s="7" t="s">
        <v>4</v>
      </c>
      <c r="H67" s="3">
        <f>VLOOKUP(H66,Parámetros!A7:K70,3,FALSE)</f>
        <v>13</v>
      </c>
      <c r="I67" t="s">
        <v>96</v>
      </c>
    </row>
    <row r="68" spans="3:12" x14ac:dyDescent="0.25">
      <c r="C68" t="s">
        <v>100</v>
      </c>
      <c r="G68" s="7" t="s">
        <v>95</v>
      </c>
      <c r="H68" s="3">
        <f>VLOOKUP(H66,Parámetros!A7:K70,4,FALSE)</f>
        <v>45.8</v>
      </c>
      <c r="I68" t="s">
        <v>97</v>
      </c>
    </row>
    <row r="69" spans="3:12" x14ac:dyDescent="0.25">
      <c r="C69" t="s">
        <v>103</v>
      </c>
      <c r="D69" s="53">
        <v>582.57000000000005</v>
      </c>
      <c r="E69" t="s">
        <v>101</v>
      </c>
      <c r="F69" s="53" t="s">
        <v>15</v>
      </c>
      <c r="G69" s="7" t="s">
        <v>8</v>
      </c>
      <c r="H69" s="3">
        <f>VLOOKUP(H66,Parámetros!A7:K70,5,FALSE)</f>
        <v>14.1</v>
      </c>
      <c r="I69" t="s">
        <v>98</v>
      </c>
    </row>
    <row r="70" spans="3:12" ht="19.5" x14ac:dyDescent="0.35">
      <c r="C70" s="25" t="s">
        <v>126</v>
      </c>
      <c r="D70" s="15">
        <v>0.83299999999999996</v>
      </c>
      <c r="E70" t="s">
        <v>116</v>
      </c>
    </row>
    <row r="71" spans="3:12" ht="19.5" x14ac:dyDescent="0.35">
      <c r="C71" s="25" t="s">
        <v>0</v>
      </c>
      <c r="D71" s="15">
        <f>0.8*D70</f>
        <v>0.66639999999999999</v>
      </c>
      <c r="E71" t="s">
        <v>116</v>
      </c>
    </row>
    <row r="73" spans="3:12" x14ac:dyDescent="0.25">
      <c r="C73" t="s">
        <v>157</v>
      </c>
      <c r="H73" s="7" t="s">
        <v>105</v>
      </c>
      <c r="I73" s="3">
        <f>ROUND(MAX(F77:F79),2)</f>
        <v>1084.75</v>
      </c>
      <c r="J73" t="s">
        <v>101</v>
      </c>
    </row>
    <row r="75" spans="3:12" x14ac:dyDescent="0.25">
      <c r="C75" s="8" t="s">
        <v>117</v>
      </c>
      <c r="D75">
        <f>D71*100/VLOOKUP(H66,Parámetros!A7:L70,12,FALSE)</f>
        <v>10.252307692307692</v>
      </c>
      <c r="H75" s="7" t="s">
        <v>105</v>
      </c>
      <c r="I75" s="114" t="str">
        <f>CONCATENATE(ROUND(I73,2)," Kg  &gt;  N = ",D69)</f>
        <v>1084.75 Kg  &gt;  N = 582.57</v>
      </c>
      <c r="J75" s="114"/>
      <c r="K75" s="114"/>
      <c r="L75" s="9" t="str">
        <f>IF(I73&gt;D69,"………….(OK)","……………(Cambiar Sección)")</f>
        <v>………….(OK)</v>
      </c>
    </row>
    <row r="76" spans="3:12" x14ac:dyDescent="0.25">
      <c r="C76" s="7" t="s">
        <v>149</v>
      </c>
      <c r="D76">
        <f>0.7025*SQRT(D4/D6)</f>
        <v>18.419705395988288</v>
      </c>
    </row>
    <row r="77" spans="3:12" x14ac:dyDescent="0.25">
      <c r="C77" t="str">
        <f>IF(D75&lt;10,"Columna"," ")</f>
        <v xml:space="preserve"> </v>
      </c>
      <c r="D77" t="str">
        <f>IF(D75&lt;10,"Corta"," ")</f>
        <v xml:space="preserve"> </v>
      </c>
      <c r="F77" s="23" t="str">
        <f>IF(D75&lt;10,D37*H67," ")</f>
        <v xml:space="preserve"> </v>
      </c>
    </row>
    <row r="78" spans="3:12" x14ac:dyDescent="0.25">
      <c r="C78" s="58" t="str">
        <f>IF(AND(10&lt;D75,D75&lt;D76)=TRUE,"Columna"," ")</f>
        <v>Columna</v>
      </c>
      <c r="D78" s="59" t="str">
        <f>IF(AND(10&lt;D75,D75&lt;D76)=TRUE,"Intermedia"," ")</f>
        <v>Intermedia</v>
      </c>
      <c r="F78" s="23">
        <f>IF(AND(10&lt;D75,D75&lt;D76)=TRUE,D37*H67*(1-(1/3)*(D75/D76)^4)," ")</f>
        <v>1084.7503292713841</v>
      </c>
    </row>
    <row r="79" spans="3:12" x14ac:dyDescent="0.25">
      <c r="C79" s="16" t="str">
        <f>IF(AND(D76&lt;D75,D75&lt;50)=TRUE,"Columna"," ")</f>
        <v xml:space="preserve"> </v>
      </c>
      <c r="D79" t="str">
        <f>IF(AND(D76&lt;D75,D75&lt;50)=TRUE,"Larga"," ")</f>
        <v xml:space="preserve"> </v>
      </c>
      <c r="F79" s="23" t="str">
        <f>IF(AND(D76&lt;D75,D75&lt;50)=TRUE,0.329*D4*H67/D75^2," ")</f>
        <v xml:space="preserve"> </v>
      </c>
    </row>
    <row r="80" spans="3:12" x14ac:dyDescent="0.25">
      <c r="C80" s="9" t="str">
        <f>IF(D75&gt;=50,"El Elemento es Inestable, cambiar de Sección"," ")</f>
        <v xml:space="preserve"> </v>
      </c>
      <c r="J80" s="7"/>
    </row>
    <row r="81" spans="3:10" x14ac:dyDescent="0.25">
      <c r="J81" s="7"/>
    </row>
    <row r="82" spans="3:10" x14ac:dyDescent="0.25">
      <c r="C82" t="s">
        <v>156</v>
      </c>
    </row>
    <row r="99" spans="3:12" x14ac:dyDescent="0.25">
      <c r="C99" t="s">
        <v>158</v>
      </c>
      <c r="G99" t="s">
        <v>2</v>
      </c>
      <c r="H99" s="53" t="s">
        <v>31</v>
      </c>
      <c r="I99" t="s">
        <v>121</v>
      </c>
      <c r="J99" s="15" t="str">
        <f>VLOOKUP(H99,Parámetros!A7:K70,2,FALSE)</f>
        <v>1" x 3"</v>
      </c>
      <c r="K99" t="s">
        <v>154</v>
      </c>
    </row>
    <row r="100" spans="3:12" x14ac:dyDescent="0.25">
      <c r="G100" s="21" t="s">
        <v>4</v>
      </c>
      <c r="H100" s="15">
        <f>VLOOKUP(H99,Parámetros!A7:K70,3,FALSE)</f>
        <v>13</v>
      </c>
      <c r="I100" t="s">
        <v>96</v>
      </c>
    </row>
    <row r="101" spans="3:12" x14ac:dyDescent="0.25">
      <c r="C101" t="s">
        <v>100</v>
      </c>
      <c r="G101" s="21" t="s">
        <v>95</v>
      </c>
      <c r="H101" s="15">
        <f>VLOOKUP(H99,Parámetros!A7:K70,4,FALSE)</f>
        <v>45.8</v>
      </c>
      <c r="I101" t="s">
        <v>97</v>
      </c>
    </row>
    <row r="102" spans="3:12" x14ac:dyDescent="0.25">
      <c r="C102" t="s">
        <v>103</v>
      </c>
      <c r="D102" s="53">
        <v>782.61</v>
      </c>
      <c r="E102" t="s">
        <v>101</v>
      </c>
      <c r="F102" t="s">
        <v>159</v>
      </c>
      <c r="G102" s="21" t="s">
        <v>8</v>
      </c>
      <c r="H102" s="15">
        <f>VLOOKUP(H99,Parámetros!A7:K70,5,FALSE)</f>
        <v>14.1</v>
      </c>
      <c r="I102" t="s">
        <v>98</v>
      </c>
    </row>
    <row r="103" spans="3:12" ht="19.5" x14ac:dyDescent="0.35">
      <c r="C103" s="25"/>
      <c r="D103" s="15"/>
    </row>
    <row r="104" spans="3:12" ht="19.5" x14ac:dyDescent="0.35">
      <c r="C104" s="25"/>
      <c r="D104" s="15"/>
      <c r="H104" s="21" t="s">
        <v>105</v>
      </c>
      <c r="I104" s="15">
        <f>D7*H100</f>
        <v>975</v>
      </c>
      <c r="J104" t="s">
        <v>101</v>
      </c>
    </row>
    <row r="106" spans="3:12" x14ac:dyDescent="0.25">
      <c r="H106" s="21" t="s">
        <v>105</v>
      </c>
      <c r="I106" s="112" t="str">
        <f>CONCATENATE(I104," Kg  &gt;  N =  ",D102," Kg")</f>
        <v>975 Kg  &gt;  N =  782.61 Kg</v>
      </c>
      <c r="J106" s="112"/>
      <c r="K106" s="112"/>
      <c r="L106" s="9" t="str">
        <f>IF(I104&gt;D102,"……….(OK)","Cambiar Sección")</f>
        <v>……….(OK)</v>
      </c>
    </row>
    <row r="112" spans="3:12" x14ac:dyDescent="0.25">
      <c r="C112" t="s">
        <v>153</v>
      </c>
      <c r="G112" t="s">
        <v>2</v>
      </c>
      <c r="H112" s="3" t="s">
        <v>42</v>
      </c>
      <c r="I112" t="s">
        <v>121</v>
      </c>
      <c r="J112" s="3" t="str">
        <f>VLOOKUP(H112,Parámetros!A7:K70,2,FALSE)</f>
        <v>1 1/2" x 8"</v>
      </c>
      <c r="K112" t="s">
        <v>154</v>
      </c>
    </row>
    <row r="113" spans="3:9" x14ac:dyDescent="0.25">
      <c r="G113" s="7" t="s">
        <v>4</v>
      </c>
      <c r="H113" s="3">
        <f>VLOOKUP(H112,Parámetros!A7:K70,3,FALSE)</f>
        <v>57</v>
      </c>
      <c r="I113" t="s">
        <v>96</v>
      </c>
    </row>
    <row r="114" spans="3:9" x14ac:dyDescent="0.25">
      <c r="C114" t="s">
        <v>103</v>
      </c>
      <c r="D114" s="20">
        <v>3114.86</v>
      </c>
      <c r="E114" t="s">
        <v>101</v>
      </c>
      <c r="F114" t="s">
        <v>159</v>
      </c>
      <c r="G114" s="7" t="s">
        <v>95</v>
      </c>
      <c r="H114" s="3">
        <f>VLOOKUP(H112,Parámetros!A7:K70,4,FALSE)</f>
        <v>1714.7</v>
      </c>
      <c r="I114" t="s">
        <v>97</v>
      </c>
    </row>
    <row r="115" spans="3:9" x14ac:dyDescent="0.25">
      <c r="C115" t="s">
        <v>104</v>
      </c>
      <c r="D115" s="20">
        <v>40.01</v>
      </c>
      <c r="E115" t="s">
        <v>102</v>
      </c>
      <c r="G115" s="7" t="s">
        <v>8</v>
      </c>
      <c r="H115" s="3">
        <f>VLOOKUP(H112,Parámetros!A7:K70,5,FALSE)</f>
        <v>180.5</v>
      </c>
      <c r="I115" t="s">
        <v>98</v>
      </c>
    </row>
    <row r="117" spans="3:9" x14ac:dyDescent="0.25">
      <c r="C117" s="7" t="str">
        <f>CONCATENATE(ROUND(D114/(D7*H113)+D115*100/(H115*D5),2),"  &lt;  1.0")</f>
        <v>0.95  &lt;  1.0</v>
      </c>
      <c r="D117" s="9" t="str">
        <f>IF(D114/(D7*H113)+D115*100/(H115*D5)&lt;1,"………….(OK)","Verificar Sección")</f>
        <v>………….(OK)</v>
      </c>
    </row>
    <row r="132" spans="3:12" x14ac:dyDescent="0.25">
      <c r="C132" t="s">
        <v>162</v>
      </c>
    </row>
    <row r="134" spans="3:12" x14ac:dyDescent="0.25">
      <c r="C134" t="s">
        <v>160</v>
      </c>
      <c r="E134" s="53">
        <v>0.63</v>
      </c>
      <c r="F134" t="s">
        <v>121</v>
      </c>
    </row>
    <row r="135" spans="3:12" x14ac:dyDescent="0.25">
      <c r="C135" t="s">
        <v>163</v>
      </c>
      <c r="E135" s="15">
        <f>ROUND(1.75*(1.15*E134+(M30*(D19*2/3)^4)*10000/(D4*H114)),2)</f>
        <v>1.69</v>
      </c>
      <c r="F135" t="s">
        <v>121</v>
      </c>
    </row>
    <row r="136" spans="3:12" x14ac:dyDescent="0.25">
      <c r="C136" t="s">
        <v>161</v>
      </c>
      <c r="E136" s="15">
        <f>ROUND(D19*200/300,2)</f>
        <v>2.67</v>
      </c>
      <c r="F136" t="s">
        <v>121</v>
      </c>
      <c r="J136" s="21" t="s">
        <v>164</v>
      </c>
      <c r="K136" s="15">
        <f>E135</f>
        <v>1.69</v>
      </c>
      <c r="L136" t="str">
        <f>CONCATENATE("cm",IF(E135&lt;E136," &lt; "," &gt; "),E136," cm")</f>
        <v>cm &lt; 2.67 cm</v>
      </c>
    </row>
    <row r="137" spans="3:12" x14ac:dyDescent="0.25">
      <c r="J137" t="s">
        <v>165</v>
      </c>
      <c r="K137" t="str">
        <f>IF(E135&lt;E136,"El Diseño es Optimo","Considerar Contraflecha o modificar Cuerdas Inferiores")</f>
        <v>El Diseño es Optimo</v>
      </c>
    </row>
  </sheetData>
  <mergeCells count="9">
    <mergeCell ref="I106:K106"/>
    <mergeCell ref="M48:O48"/>
    <mergeCell ref="C1:O1"/>
    <mergeCell ref="I75:K75"/>
    <mergeCell ref="I48:K48"/>
    <mergeCell ref="C54:E54"/>
    <mergeCell ref="J27:L27"/>
    <mergeCell ref="J30:L30"/>
    <mergeCell ref="G48:H48"/>
  </mergeCells>
  <dataValidations count="1">
    <dataValidation type="list" allowBlank="1" showInputMessage="1" showErrorMessage="1" sqref="F36 F69 F102 F114" xr:uid="{00000000-0002-0000-0000-000000000000}">
      <formula1>"C,T"</formula1>
    </dataValidation>
  </dataValidations>
  <pageMargins left="0.7" right="0.7" top="0.75" bottom="0.75" header="0.3" footer="0.3"/>
  <pageSetup paperSize="9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Parámetros!$A$7:$A$70</xm:f>
          </x14:formula1>
          <xm:sqref>H33 H66 H112 H99</xm:sqref>
        </x14:dataValidation>
        <x14:dataValidation type="list" allowBlank="1" showInputMessage="1" showErrorMessage="1" xr:uid="{00000000-0002-0000-0000-000002000000}">
          <x14:formula1>
            <xm:f>Parámetros!$O$4:$O$6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V150"/>
  <sheetViews>
    <sheetView tabSelected="1" workbookViewId="0">
      <selection activeCell="B15" sqref="B15"/>
    </sheetView>
  </sheetViews>
  <sheetFormatPr baseColWidth="10" defaultRowHeight="15" x14ac:dyDescent="0.25"/>
  <cols>
    <col min="3" max="3" width="17.28515625" customWidth="1"/>
    <col min="4" max="4" width="8.140625" bestFit="1" customWidth="1"/>
    <col min="5" max="5" width="7.5703125" bestFit="1" customWidth="1"/>
    <col min="6" max="6" width="4.28515625" customWidth="1"/>
    <col min="7" max="7" width="14.5703125" bestFit="1" customWidth="1"/>
    <col min="8" max="8" width="5.5703125" bestFit="1" customWidth="1"/>
    <col min="9" max="9" width="7.5703125" bestFit="1" customWidth="1"/>
    <col min="10" max="10" width="4.5703125" bestFit="1" customWidth="1"/>
    <col min="12" max="12" width="8.42578125" customWidth="1"/>
    <col min="13" max="13" width="10.140625" customWidth="1"/>
    <col min="14" max="14" width="5.85546875" customWidth="1"/>
    <col min="15" max="15" width="8.42578125" customWidth="1"/>
    <col min="16" max="16" width="7.7109375" customWidth="1"/>
    <col min="17" max="17" width="6.85546875" customWidth="1"/>
    <col min="18" max="18" width="8.140625" customWidth="1"/>
    <col min="19" max="19" width="8.42578125" customWidth="1"/>
    <col min="20" max="20" width="8" customWidth="1"/>
    <col min="21" max="21" width="9.42578125" customWidth="1"/>
  </cols>
  <sheetData>
    <row r="1" spans="3:22" ht="20.25" customHeight="1" x14ac:dyDescent="0.25">
      <c r="C1" s="116" t="s">
        <v>166</v>
      </c>
      <c r="D1" s="116"/>
      <c r="E1" s="116"/>
      <c r="F1" s="116"/>
      <c r="G1" s="116"/>
      <c r="H1" s="116"/>
      <c r="I1" s="116"/>
      <c r="J1" s="116"/>
      <c r="K1" s="32"/>
      <c r="L1" s="119" t="s">
        <v>167</v>
      </c>
      <c r="M1" s="119"/>
      <c r="N1" s="119"/>
      <c r="O1" s="119"/>
      <c r="P1" s="119"/>
      <c r="Q1" s="119"/>
      <c r="R1" s="119"/>
      <c r="S1" s="119"/>
      <c r="T1" s="119"/>
      <c r="U1" s="119"/>
    </row>
    <row r="2" spans="3:22" ht="15.75" x14ac:dyDescent="0.25">
      <c r="C2" s="32"/>
      <c r="D2" s="32"/>
      <c r="E2" s="32"/>
      <c r="F2" s="32"/>
      <c r="G2" s="32"/>
      <c r="H2" s="32"/>
      <c r="I2" s="32"/>
      <c r="J2" s="32"/>
      <c r="K2" s="32"/>
      <c r="P2" s="120" t="s">
        <v>173</v>
      </c>
      <c r="Q2" s="120"/>
    </row>
    <row r="3" spans="3:22" x14ac:dyDescent="0.25">
      <c r="C3" s="32" t="s">
        <v>174</v>
      </c>
      <c r="D3" s="43" t="s">
        <v>15</v>
      </c>
      <c r="E3" s="32"/>
      <c r="F3" s="32"/>
      <c r="G3" s="32"/>
      <c r="H3" s="32"/>
      <c r="I3" s="32"/>
      <c r="J3" s="32"/>
      <c r="K3" s="32"/>
      <c r="L3" s="121" t="s">
        <v>3</v>
      </c>
      <c r="M3" s="121"/>
      <c r="N3" s="122" t="s">
        <v>168</v>
      </c>
      <c r="O3" s="124" t="s">
        <v>169</v>
      </c>
      <c r="P3" s="124"/>
      <c r="Q3" s="124"/>
      <c r="R3" s="124"/>
      <c r="S3" s="124"/>
      <c r="T3" s="124"/>
      <c r="U3" s="124"/>
    </row>
    <row r="4" spans="3:22" x14ac:dyDescent="0.25">
      <c r="C4" s="34" t="s">
        <v>107</v>
      </c>
      <c r="D4" s="33">
        <f>VLOOKUP(D3,Parámetros!O4:V6,3,FALSE)</f>
        <v>90000</v>
      </c>
      <c r="E4" s="32" t="s">
        <v>113</v>
      </c>
      <c r="F4" s="32"/>
      <c r="G4" s="32"/>
      <c r="H4" s="32"/>
      <c r="I4" s="32"/>
      <c r="J4" s="32"/>
      <c r="K4" s="32"/>
      <c r="L4" s="125" t="s">
        <v>23</v>
      </c>
      <c r="M4" s="122" t="s">
        <v>92</v>
      </c>
      <c r="N4" s="123"/>
      <c r="O4" s="124"/>
      <c r="P4" s="124"/>
      <c r="Q4" s="124"/>
      <c r="R4" s="124"/>
      <c r="S4" s="124"/>
      <c r="T4" s="124"/>
      <c r="U4" s="124"/>
    </row>
    <row r="5" spans="3:22" x14ac:dyDescent="0.25">
      <c r="C5" s="34" t="s">
        <v>108</v>
      </c>
      <c r="D5" s="33">
        <f>VLOOKUP(D3,Parámetros!O4:V6,4,FALSE)</f>
        <v>100</v>
      </c>
      <c r="E5" s="32" t="s">
        <v>113</v>
      </c>
      <c r="F5" s="32"/>
      <c r="G5" s="32"/>
      <c r="H5" s="32"/>
      <c r="I5" s="32"/>
      <c r="J5" s="32"/>
      <c r="K5" s="32"/>
      <c r="L5" s="125"/>
      <c r="M5" s="122"/>
      <c r="N5" s="123"/>
      <c r="O5" s="123">
        <v>30</v>
      </c>
      <c r="P5" s="123">
        <v>40</v>
      </c>
      <c r="Q5" s="123">
        <v>50</v>
      </c>
      <c r="R5" s="123">
        <v>60</v>
      </c>
      <c r="S5" s="123">
        <v>80</v>
      </c>
      <c r="T5" s="123">
        <v>100</v>
      </c>
      <c r="U5" s="123">
        <v>120</v>
      </c>
    </row>
    <row r="6" spans="3:22" x14ac:dyDescent="0.25">
      <c r="C6" s="34" t="s">
        <v>109</v>
      </c>
      <c r="D6" s="33">
        <f>VLOOKUP(D3,Parámetros!O4:V6,5,FALSE)</f>
        <v>80</v>
      </c>
      <c r="E6" s="32" t="s">
        <v>113</v>
      </c>
      <c r="F6" s="32"/>
      <c r="G6" s="32"/>
      <c r="H6" s="32"/>
      <c r="I6" s="32"/>
      <c r="J6" s="32"/>
      <c r="K6" s="32"/>
      <c r="L6" s="125"/>
      <c r="M6" s="122"/>
      <c r="N6" s="123"/>
      <c r="O6" s="123"/>
      <c r="P6" s="123"/>
      <c r="Q6" s="123"/>
      <c r="R6" s="123"/>
      <c r="S6" s="123"/>
      <c r="T6" s="123"/>
      <c r="U6" s="123"/>
    </row>
    <row r="7" spans="3:22" x14ac:dyDescent="0.25">
      <c r="C7" s="34" t="s">
        <v>112</v>
      </c>
      <c r="D7" s="33">
        <f>VLOOKUP(D3,Parámetros!O4:V6,8,FALSE)</f>
        <v>75</v>
      </c>
      <c r="E7" s="32" t="s">
        <v>113</v>
      </c>
      <c r="F7" s="32"/>
      <c r="G7" s="32"/>
      <c r="H7" s="32"/>
      <c r="I7" s="32"/>
      <c r="J7" s="32"/>
      <c r="K7" s="32"/>
      <c r="L7" s="126" t="s">
        <v>171</v>
      </c>
      <c r="M7" s="126" t="s">
        <v>170</v>
      </c>
      <c r="N7" s="75" t="s">
        <v>13</v>
      </c>
      <c r="O7" s="76">
        <v>9.5</v>
      </c>
      <c r="P7" s="76">
        <v>7.2</v>
      </c>
      <c r="Q7" s="76">
        <v>5.7</v>
      </c>
      <c r="R7" s="76">
        <v>4.8</v>
      </c>
      <c r="S7" s="76">
        <v>3.6</v>
      </c>
      <c r="T7" s="76">
        <v>2.9</v>
      </c>
      <c r="U7" s="76">
        <v>2.4</v>
      </c>
    </row>
    <row r="8" spans="3:22" x14ac:dyDescent="0.25">
      <c r="C8" s="34" t="s">
        <v>111</v>
      </c>
      <c r="D8" s="33">
        <f>VLOOKUP(D3,Parámetros!O4:V6,7,FALSE)</f>
        <v>8</v>
      </c>
      <c r="E8" s="32" t="s">
        <v>113</v>
      </c>
      <c r="F8" s="32"/>
      <c r="G8" s="32"/>
      <c r="H8" s="32"/>
      <c r="I8" s="32"/>
      <c r="J8" s="32"/>
      <c r="K8" s="32"/>
      <c r="L8" s="127"/>
      <c r="M8" s="127"/>
      <c r="N8" s="75" t="s">
        <v>14</v>
      </c>
      <c r="O8" s="76">
        <v>8.6999999999999993</v>
      </c>
      <c r="P8" s="76">
        <v>6.5</v>
      </c>
      <c r="Q8" s="76">
        <v>5.2</v>
      </c>
      <c r="R8" s="76">
        <v>4.3</v>
      </c>
      <c r="S8" s="76">
        <v>3.3</v>
      </c>
      <c r="T8" s="76">
        <v>2.6</v>
      </c>
      <c r="U8" s="76">
        <v>2.2000000000000002</v>
      </c>
    </row>
    <row r="9" spans="3:22" x14ac:dyDescent="0.25">
      <c r="C9" s="32"/>
      <c r="D9" s="32"/>
      <c r="E9" s="32"/>
      <c r="F9" s="32"/>
      <c r="G9" s="32"/>
      <c r="H9" s="32"/>
      <c r="I9" s="32"/>
      <c r="J9" s="32"/>
      <c r="K9" s="32"/>
      <c r="L9" s="128"/>
      <c r="M9" s="128"/>
      <c r="N9" s="77" t="s">
        <v>15</v>
      </c>
      <c r="O9" s="78">
        <v>7.8</v>
      </c>
      <c r="P9" s="78">
        <v>5.9</v>
      </c>
      <c r="Q9" s="78">
        <v>4.7</v>
      </c>
      <c r="R9" s="78">
        <v>3.9</v>
      </c>
      <c r="S9" s="78">
        <v>2.9</v>
      </c>
      <c r="T9" s="78">
        <v>2.2999999999999998</v>
      </c>
      <c r="U9" s="78">
        <v>2</v>
      </c>
    </row>
    <row r="10" spans="3:22" x14ac:dyDescent="0.25">
      <c r="C10" s="34" t="s">
        <v>1</v>
      </c>
      <c r="D10" s="44">
        <v>3</v>
      </c>
      <c r="E10" s="32" t="s">
        <v>116</v>
      </c>
      <c r="F10" s="32"/>
      <c r="G10" s="32"/>
      <c r="H10" s="32"/>
      <c r="I10" s="32"/>
      <c r="J10" s="32"/>
      <c r="K10" s="32"/>
      <c r="L10" s="126" t="s">
        <v>47</v>
      </c>
      <c r="M10" s="126" t="s">
        <v>30</v>
      </c>
      <c r="N10" s="79" t="s">
        <v>13</v>
      </c>
      <c r="O10" s="76">
        <v>13.2</v>
      </c>
      <c r="P10" s="76">
        <v>9.9</v>
      </c>
      <c r="Q10" s="76">
        <v>7.9</v>
      </c>
      <c r="R10" s="76">
        <v>6.6</v>
      </c>
      <c r="S10" s="76">
        <v>5</v>
      </c>
      <c r="T10" s="76">
        <v>4</v>
      </c>
      <c r="U10" s="76">
        <v>3.3</v>
      </c>
    </row>
    <row r="11" spans="3:22" x14ac:dyDescent="0.25">
      <c r="C11" s="34" t="s">
        <v>135</v>
      </c>
      <c r="D11" s="44">
        <v>1.625</v>
      </c>
      <c r="E11" s="32" t="s">
        <v>116</v>
      </c>
      <c r="F11" s="32"/>
      <c r="G11" s="32"/>
      <c r="H11" s="32"/>
      <c r="I11" s="32"/>
      <c r="J11" s="32"/>
      <c r="K11" s="32"/>
      <c r="L11" s="127"/>
      <c r="M11" s="127"/>
      <c r="N11" s="75" t="s">
        <v>14</v>
      </c>
      <c r="O11" s="76">
        <v>12</v>
      </c>
      <c r="P11" s="76">
        <v>9</v>
      </c>
      <c r="Q11" s="76">
        <v>7.2</v>
      </c>
      <c r="R11" s="76">
        <v>6</v>
      </c>
      <c r="S11" s="76">
        <v>4.5</v>
      </c>
      <c r="T11" s="76">
        <v>3.6</v>
      </c>
      <c r="U11" s="76">
        <v>3</v>
      </c>
    </row>
    <row r="12" spans="3:22" x14ac:dyDescent="0.25">
      <c r="C12" s="34" t="s">
        <v>175</v>
      </c>
      <c r="D12" s="44">
        <v>1</v>
      </c>
      <c r="E12" s="32" t="s">
        <v>116</v>
      </c>
      <c r="F12" s="32"/>
      <c r="G12" s="32"/>
      <c r="H12" s="32"/>
      <c r="I12" s="32"/>
      <c r="J12" s="32"/>
      <c r="K12" s="32"/>
      <c r="L12" s="128"/>
      <c r="M12" s="128"/>
      <c r="N12" s="77" t="s">
        <v>15</v>
      </c>
      <c r="O12" s="78">
        <v>10.8</v>
      </c>
      <c r="P12" s="78">
        <v>8.1</v>
      </c>
      <c r="Q12" s="78">
        <v>6.5</v>
      </c>
      <c r="R12" s="78">
        <v>5.4</v>
      </c>
      <c r="S12" s="78">
        <v>4.0999999999999996</v>
      </c>
      <c r="T12" s="78">
        <v>3.2</v>
      </c>
      <c r="U12" s="78">
        <v>2.7</v>
      </c>
    </row>
    <row r="13" spans="3:22" x14ac:dyDescent="0.25">
      <c r="C13" s="34" t="s">
        <v>176</v>
      </c>
      <c r="D13" s="36">
        <f>ROUNDDOWN(D11/D12,0)</f>
        <v>1</v>
      </c>
      <c r="E13" s="32"/>
      <c r="F13" s="32"/>
      <c r="G13" s="32"/>
      <c r="H13" s="32"/>
      <c r="I13" s="32"/>
      <c r="J13" s="32"/>
      <c r="K13" s="32"/>
      <c r="L13" s="126" t="s">
        <v>48</v>
      </c>
      <c r="M13" s="126" t="s">
        <v>85</v>
      </c>
      <c r="N13" s="79" t="s">
        <v>13</v>
      </c>
      <c r="O13" s="76">
        <v>20.5</v>
      </c>
      <c r="P13" s="76">
        <v>15.4</v>
      </c>
      <c r="Q13" s="76">
        <v>12.3</v>
      </c>
      <c r="R13" s="76">
        <v>10.3</v>
      </c>
      <c r="S13" s="76">
        <v>7.7</v>
      </c>
      <c r="T13" s="76">
        <v>6.2</v>
      </c>
      <c r="U13" s="76">
        <v>5.0999999999999996</v>
      </c>
    </row>
    <row r="14" spans="3:22" x14ac:dyDescent="0.25">
      <c r="C14" s="32"/>
      <c r="D14" s="32"/>
      <c r="E14" s="32"/>
      <c r="F14" s="32"/>
      <c r="G14" s="32"/>
      <c r="H14" s="32"/>
      <c r="I14" s="32"/>
      <c r="J14" s="32"/>
      <c r="K14" s="32"/>
      <c r="L14" s="127"/>
      <c r="M14" s="127"/>
      <c r="N14" s="75" t="s">
        <v>14</v>
      </c>
      <c r="O14" s="76">
        <v>18.7</v>
      </c>
      <c r="P14" s="76">
        <v>14</v>
      </c>
      <c r="Q14" s="76">
        <v>11.2</v>
      </c>
      <c r="R14" s="76">
        <v>9.3000000000000007</v>
      </c>
      <c r="S14" s="76">
        <v>7</v>
      </c>
      <c r="T14" s="76">
        <v>5.6</v>
      </c>
      <c r="U14" s="76">
        <v>4.7</v>
      </c>
      <c r="V14">
        <f>0.14*15</f>
        <v>2.1</v>
      </c>
    </row>
    <row r="15" spans="3:22" x14ac:dyDescent="0.25">
      <c r="C15" s="34" t="s">
        <v>2</v>
      </c>
      <c r="D15" s="43" t="s">
        <v>48</v>
      </c>
      <c r="E15" s="32" t="s">
        <v>121</v>
      </c>
      <c r="F15" s="32"/>
      <c r="G15" s="117" t="s">
        <v>100</v>
      </c>
      <c r="H15" s="117"/>
      <c r="I15" s="117"/>
      <c r="J15" s="32"/>
      <c r="K15" s="32"/>
      <c r="L15" s="128"/>
      <c r="M15" s="128"/>
      <c r="N15" s="77" t="s">
        <v>15</v>
      </c>
      <c r="O15" s="78">
        <v>16.8</v>
      </c>
      <c r="P15" s="78">
        <v>12.6</v>
      </c>
      <c r="Q15" s="78">
        <v>10.1</v>
      </c>
      <c r="R15" s="78">
        <v>8.4</v>
      </c>
      <c r="S15" s="78">
        <v>6.3</v>
      </c>
      <c r="T15" s="78">
        <v>5</v>
      </c>
      <c r="U15" s="78">
        <v>4.2</v>
      </c>
    </row>
    <row r="16" spans="3:22" x14ac:dyDescent="0.25">
      <c r="C16" s="32"/>
      <c r="D16" s="33" t="str">
        <f>VLOOKUP(D15,Parámetros!A7:K70,2,FALSE)</f>
        <v>2" x 6"</v>
      </c>
      <c r="E16" s="32"/>
      <c r="F16" s="32"/>
      <c r="G16" s="34" t="s">
        <v>128</v>
      </c>
      <c r="H16" s="45">
        <v>5</v>
      </c>
      <c r="I16" s="32" t="s">
        <v>129</v>
      </c>
      <c r="J16" s="32"/>
      <c r="K16" s="32"/>
      <c r="L16" s="126" t="s">
        <v>49</v>
      </c>
      <c r="M16" s="126" t="s">
        <v>88</v>
      </c>
      <c r="N16" s="79" t="s">
        <v>13</v>
      </c>
      <c r="O16" s="76">
        <v>24.2</v>
      </c>
      <c r="P16" s="76">
        <v>18.2</v>
      </c>
      <c r="Q16" s="76">
        <v>14.5</v>
      </c>
      <c r="R16" s="76">
        <v>12.1</v>
      </c>
      <c r="S16" s="76">
        <v>9.1</v>
      </c>
      <c r="T16" s="76">
        <v>7.3</v>
      </c>
      <c r="U16" s="76">
        <v>6.1</v>
      </c>
    </row>
    <row r="17" spans="3:21" x14ac:dyDescent="0.25">
      <c r="C17" s="34" t="s">
        <v>95</v>
      </c>
      <c r="D17" s="33">
        <f>VLOOKUP(D15,Parámetros!A7:K70,4,FALSE)</f>
        <v>914.6</v>
      </c>
      <c r="E17" s="32" t="s">
        <v>97</v>
      </c>
      <c r="F17" s="32"/>
      <c r="G17" s="34" t="s">
        <v>177</v>
      </c>
      <c r="H17" s="45">
        <v>10</v>
      </c>
      <c r="I17" s="32" t="s">
        <v>129</v>
      </c>
      <c r="J17" s="32"/>
      <c r="K17" s="32"/>
      <c r="L17" s="127"/>
      <c r="M17" s="127"/>
      <c r="N17" s="75" t="s">
        <v>14</v>
      </c>
      <c r="O17" s="76">
        <v>22</v>
      </c>
      <c r="P17" s="76">
        <v>16.5</v>
      </c>
      <c r="Q17" s="76">
        <v>13.2</v>
      </c>
      <c r="R17" s="76">
        <v>11</v>
      </c>
      <c r="S17" s="76">
        <v>8.3000000000000007</v>
      </c>
      <c r="T17" s="76">
        <v>6.6</v>
      </c>
      <c r="U17" s="76">
        <v>5.5</v>
      </c>
    </row>
    <row r="18" spans="3:21" x14ac:dyDescent="0.25">
      <c r="C18" s="34" t="s">
        <v>8</v>
      </c>
      <c r="D18" s="33">
        <f>VLOOKUP(D15,Parámetros!A7:K70,5,FALSE)</f>
        <v>130.69999999999999</v>
      </c>
      <c r="E18" s="32" t="s">
        <v>98</v>
      </c>
      <c r="F18" s="32"/>
      <c r="G18" s="34" t="s">
        <v>178</v>
      </c>
      <c r="H18" s="45">
        <v>2</v>
      </c>
      <c r="I18" s="32" t="s">
        <v>129</v>
      </c>
      <c r="J18" s="32"/>
      <c r="K18" s="32"/>
      <c r="L18" s="128"/>
      <c r="M18" s="128"/>
      <c r="N18" s="77" t="s">
        <v>15</v>
      </c>
      <c r="O18" s="78">
        <v>19.8</v>
      </c>
      <c r="P18" s="78">
        <v>14.9</v>
      </c>
      <c r="Q18" s="78">
        <v>11.9</v>
      </c>
      <c r="R18" s="78">
        <v>9.9</v>
      </c>
      <c r="S18" s="78">
        <v>7.4</v>
      </c>
      <c r="T18" s="78">
        <v>5.9</v>
      </c>
      <c r="U18" s="78">
        <v>5</v>
      </c>
    </row>
    <row r="19" spans="3:21" x14ac:dyDescent="0.25">
      <c r="C19" s="32"/>
      <c r="D19" s="32"/>
      <c r="E19" s="32"/>
      <c r="F19" s="32"/>
      <c r="G19" s="34" t="s">
        <v>138</v>
      </c>
      <c r="H19" s="45">
        <v>50</v>
      </c>
      <c r="I19" s="32" t="s">
        <v>129</v>
      </c>
      <c r="J19" s="32"/>
      <c r="K19" s="32"/>
      <c r="L19" s="126" t="s">
        <v>50</v>
      </c>
      <c r="M19" s="126" t="s">
        <v>86</v>
      </c>
      <c r="N19" s="79" t="s">
        <v>13</v>
      </c>
      <c r="O19" s="76">
        <v>27.9</v>
      </c>
      <c r="P19" s="76">
        <v>20.9</v>
      </c>
      <c r="Q19" s="76">
        <v>16.7</v>
      </c>
      <c r="R19" s="76">
        <v>13.9</v>
      </c>
      <c r="S19" s="76">
        <v>10.5</v>
      </c>
      <c r="T19" s="76">
        <v>8.4</v>
      </c>
      <c r="U19" s="76">
        <v>7</v>
      </c>
    </row>
    <row r="20" spans="3:21" x14ac:dyDescent="0.25">
      <c r="C20" s="32"/>
      <c r="D20" s="32"/>
      <c r="E20" s="32"/>
      <c r="F20" s="32"/>
      <c r="G20" s="32"/>
      <c r="H20" s="32"/>
      <c r="I20" s="32"/>
      <c r="J20" s="32"/>
      <c r="K20" s="32"/>
      <c r="L20" s="127"/>
      <c r="M20" s="127"/>
      <c r="N20" s="75" t="s">
        <v>14</v>
      </c>
      <c r="O20" s="76">
        <v>25.3</v>
      </c>
      <c r="P20" s="76">
        <v>19</v>
      </c>
      <c r="Q20" s="76">
        <v>15.2</v>
      </c>
      <c r="R20" s="76">
        <v>12.7</v>
      </c>
      <c r="S20" s="76">
        <v>9.5</v>
      </c>
      <c r="T20" s="76">
        <v>7.6</v>
      </c>
      <c r="U20" s="76">
        <v>6.3</v>
      </c>
    </row>
    <row r="21" spans="3:21" x14ac:dyDescent="0.25">
      <c r="C21" s="117" t="s">
        <v>179</v>
      </c>
      <c r="D21" s="117"/>
      <c r="E21" s="117"/>
      <c r="F21" s="117"/>
      <c r="G21" s="117"/>
      <c r="H21" s="117"/>
      <c r="I21" s="117"/>
      <c r="J21" s="117"/>
      <c r="K21" s="117"/>
      <c r="L21" s="128"/>
      <c r="M21" s="128"/>
      <c r="N21" s="77" t="s">
        <v>15</v>
      </c>
      <c r="O21" s="78">
        <v>22.8</v>
      </c>
      <c r="P21" s="78">
        <v>17.100000000000001</v>
      </c>
      <c r="Q21" s="78">
        <v>13.7</v>
      </c>
      <c r="R21" s="78">
        <v>11.4</v>
      </c>
      <c r="S21" s="78">
        <v>8.6</v>
      </c>
      <c r="T21" s="78">
        <v>6.8</v>
      </c>
      <c r="U21" s="78">
        <v>5.7</v>
      </c>
    </row>
    <row r="22" spans="3:21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126" t="s">
        <v>51</v>
      </c>
      <c r="M22" s="126" t="s">
        <v>87</v>
      </c>
      <c r="N22" s="79" t="s">
        <v>13</v>
      </c>
      <c r="O22" s="76">
        <v>35.200000000000003</v>
      </c>
      <c r="P22" s="76">
        <v>26.4</v>
      </c>
      <c r="Q22" s="76">
        <v>21.1</v>
      </c>
      <c r="R22" s="76">
        <v>17.600000000000001</v>
      </c>
      <c r="S22" s="76">
        <v>13.2</v>
      </c>
      <c r="T22" s="76">
        <v>10.6</v>
      </c>
      <c r="U22" s="76">
        <v>8.8000000000000007</v>
      </c>
    </row>
    <row r="23" spans="3:21" x14ac:dyDescent="0.25">
      <c r="C23" s="32" t="s">
        <v>180</v>
      </c>
      <c r="D23" s="32"/>
      <c r="E23" s="32"/>
      <c r="F23" s="32"/>
      <c r="G23" s="32" t="s">
        <v>181</v>
      </c>
      <c r="H23" s="32"/>
      <c r="I23" s="32"/>
      <c r="J23" s="32"/>
      <c r="K23" s="32"/>
      <c r="L23" s="127"/>
      <c r="M23" s="127"/>
      <c r="N23" s="75" t="s">
        <v>14</v>
      </c>
      <c r="O23" s="76">
        <v>32</v>
      </c>
      <c r="P23" s="76">
        <v>24</v>
      </c>
      <c r="Q23" s="76">
        <v>19.2</v>
      </c>
      <c r="R23" s="76">
        <v>16</v>
      </c>
      <c r="S23" s="76">
        <v>12</v>
      </c>
      <c r="T23" s="76">
        <v>9.6</v>
      </c>
      <c r="U23" s="76">
        <v>8</v>
      </c>
    </row>
    <row r="24" spans="3:21" x14ac:dyDescent="0.25">
      <c r="C24" s="32"/>
      <c r="D24" s="32"/>
      <c r="E24" s="32"/>
      <c r="F24" s="32"/>
      <c r="G24" s="32"/>
      <c r="H24" s="32"/>
      <c r="I24" s="32"/>
      <c r="J24" s="32"/>
      <c r="K24" s="32"/>
      <c r="L24" s="128"/>
      <c r="M24" s="128"/>
      <c r="N24" s="77" t="s">
        <v>15</v>
      </c>
      <c r="O24" s="78">
        <v>28.8</v>
      </c>
      <c r="P24" s="78">
        <v>21.6</v>
      </c>
      <c r="Q24" s="78">
        <v>17.3</v>
      </c>
      <c r="R24" s="78">
        <v>14.4</v>
      </c>
      <c r="S24" s="78">
        <v>10.8</v>
      </c>
      <c r="T24" s="78">
        <v>8.6</v>
      </c>
      <c r="U24" s="78">
        <v>7.2</v>
      </c>
    </row>
    <row r="25" spans="3:21" x14ac:dyDescent="0.25">
      <c r="C25" s="38" t="s">
        <v>182</v>
      </c>
      <c r="D25" s="35">
        <f>D10*100/250</f>
        <v>1.2</v>
      </c>
      <c r="E25" s="32" t="s">
        <v>121</v>
      </c>
      <c r="F25" s="32"/>
      <c r="G25" s="32"/>
      <c r="H25" s="32"/>
      <c r="I25" s="38" t="s">
        <v>182</v>
      </c>
      <c r="J25" s="35">
        <f>D10*100/350</f>
        <v>0.8571428571428571</v>
      </c>
      <c r="K25" s="32" t="s">
        <v>121</v>
      </c>
      <c r="L25" s="126" t="s">
        <v>65</v>
      </c>
      <c r="M25" s="126" t="s">
        <v>89</v>
      </c>
      <c r="N25" s="79" t="s">
        <v>13</v>
      </c>
      <c r="O25" s="76">
        <v>45.3</v>
      </c>
      <c r="P25" s="76">
        <v>34</v>
      </c>
      <c r="Q25" s="76">
        <v>27.2</v>
      </c>
      <c r="R25" s="76">
        <v>22.6</v>
      </c>
      <c r="S25" s="76">
        <v>17</v>
      </c>
      <c r="T25" s="76">
        <v>13.6</v>
      </c>
      <c r="U25" s="76">
        <v>11.3</v>
      </c>
    </row>
    <row r="26" spans="3:2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127"/>
      <c r="M26" s="127"/>
      <c r="N26" s="75" t="s">
        <v>14</v>
      </c>
      <c r="O26" s="76">
        <v>41.2</v>
      </c>
      <c r="P26" s="76">
        <v>30.9</v>
      </c>
      <c r="Q26" s="76">
        <v>24.7</v>
      </c>
      <c r="R26" s="76">
        <v>20.6</v>
      </c>
      <c r="S26" s="76">
        <v>15.4</v>
      </c>
      <c r="T26" s="76">
        <v>12.4</v>
      </c>
      <c r="U26" s="76">
        <v>10.3</v>
      </c>
    </row>
    <row r="27" spans="3:21" x14ac:dyDescent="0.25">
      <c r="C27" s="32" t="s">
        <v>183</v>
      </c>
      <c r="D27" s="32"/>
      <c r="E27" s="32"/>
      <c r="F27" s="32"/>
      <c r="G27" s="32"/>
      <c r="H27" s="32"/>
      <c r="I27" s="32"/>
      <c r="J27" s="32"/>
      <c r="K27" s="32"/>
      <c r="L27" s="128"/>
      <c r="M27" s="128"/>
      <c r="N27" s="77" t="s">
        <v>15</v>
      </c>
      <c r="O27" s="78">
        <v>37</v>
      </c>
      <c r="P27" s="78">
        <v>27.8</v>
      </c>
      <c r="Q27" s="78">
        <v>22.2</v>
      </c>
      <c r="R27" s="78">
        <v>18.5</v>
      </c>
      <c r="S27" s="78">
        <v>13.9</v>
      </c>
      <c r="T27" s="78">
        <v>11.1</v>
      </c>
      <c r="U27" s="78">
        <v>9.3000000000000007</v>
      </c>
    </row>
    <row r="28" spans="3:2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126" t="s">
        <v>66</v>
      </c>
      <c r="M28" s="126" t="s">
        <v>90</v>
      </c>
      <c r="N28" s="79" t="s">
        <v>13</v>
      </c>
      <c r="O28" s="76">
        <v>57.2</v>
      </c>
      <c r="P28" s="76">
        <v>42.9</v>
      </c>
      <c r="Q28" s="76">
        <v>34.299999999999997</v>
      </c>
      <c r="R28" s="76">
        <v>28.6</v>
      </c>
      <c r="S28" s="76">
        <v>21.5</v>
      </c>
      <c r="T28" s="76">
        <v>17.2</v>
      </c>
      <c r="U28" s="76">
        <v>14.3</v>
      </c>
    </row>
    <row r="29" spans="3:21" x14ac:dyDescent="0.25">
      <c r="C29" s="118" t="str">
        <f>CONCATENATE(G16," + ","Peso Muerto: (Wd)"," = ",H16," + ",H17," + ",H18,"    =")</f>
        <v>Peso Propio + Peso Muerto: (Wd) = 5 + 10 + 2    =</v>
      </c>
      <c r="D29" s="118"/>
      <c r="E29" s="118"/>
      <c r="F29" s="118"/>
      <c r="G29" s="118"/>
      <c r="H29" s="37">
        <f>SUM(H16:H18)</f>
        <v>17</v>
      </c>
      <c r="I29" s="32" t="s">
        <v>129</v>
      </c>
      <c r="J29" s="32"/>
      <c r="K29" s="32"/>
      <c r="L29" s="127"/>
      <c r="M29" s="127"/>
      <c r="N29" s="75" t="s">
        <v>14</v>
      </c>
      <c r="O29" s="76">
        <v>52</v>
      </c>
      <c r="P29" s="76">
        <v>39</v>
      </c>
      <c r="Q29" s="76">
        <v>31.2</v>
      </c>
      <c r="R29" s="76">
        <v>26</v>
      </c>
      <c r="S29" s="76">
        <v>19.5</v>
      </c>
      <c r="T29" s="76">
        <v>15.6</v>
      </c>
      <c r="U29" s="76">
        <v>13</v>
      </c>
    </row>
    <row r="30" spans="3:21" x14ac:dyDescent="0.25">
      <c r="C30" s="32" t="str">
        <f>CONCATENATE(G19,"(Wl)")</f>
        <v>Sobrecarga(Wl)</v>
      </c>
      <c r="D30" s="32"/>
      <c r="E30" s="32"/>
      <c r="F30" s="32"/>
      <c r="G30" s="34" t="s">
        <v>184</v>
      </c>
      <c r="H30" s="37">
        <f>H19</f>
        <v>50</v>
      </c>
      <c r="I30" s="32" t="s">
        <v>129</v>
      </c>
      <c r="J30" s="32"/>
      <c r="K30" s="32"/>
      <c r="L30" s="128"/>
      <c r="M30" s="128"/>
      <c r="N30" s="77" t="s">
        <v>15</v>
      </c>
      <c r="O30" s="78">
        <v>46.8</v>
      </c>
      <c r="P30" s="78">
        <v>35.1</v>
      </c>
      <c r="Q30" s="78">
        <v>28.1</v>
      </c>
      <c r="R30" s="78">
        <v>23.4</v>
      </c>
      <c r="S30" s="78">
        <v>17.600000000000001</v>
      </c>
      <c r="T30" s="78">
        <v>14</v>
      </c>
      <c r="U30" s="78">
        <v>11.7</v>
      </c>
    </row>
    <row r="31" spans="3:21" x14ac:dyDescent="0.25">
      <c r="C31" s="32" t="str">
        <f>CONCATENATE("Carga Total (W) = Wd + Wl"," = ",H29," + ",H30)</f>
        <v>Carga Total (W) = Wd + Wl = 17 + 50</v>
      </c>
      <c r="D31" s="32"/>
      <c r="E31" s="32"/>
      <c r="F31" s="32"/>
      <c r="G31" s="34" t="s">
        <v>184</v>
      </c>
      <c r="H31" s="37">
        <f>SUM(H29:H30)</f>
        <v>67</v>
      </c>
      <c r="I31" s="32" t="s">
        <v>129</v>
      </c>
      <c r="J31" s="32"/>
      <c r="K31" s="32"/>
      <c r="L31" s="126" t="s">
        <v>67</v>
      </c>
      <c r="M31" s="126" t="s">
        <v>91</v>
      </c>
      <c r="N31" s="79" t="s">
        <v>13</v>
      </c>
      <c r="O31" s="76">
        <v>69.099999999999994</v>
      </c>
      <c r="P31" s="76">
        <v>51.8</v>
      </c>
      <c r="Q31" s="76">
        <v>41.5</v>
      </c>
      <c r="R31" s="76">
        <v>34.6</v>
      </c>
      <c r="S31" s="76">
        <v>25.9</v>
      </c>
      <c r="T31" s="76">
        <v>20.7</v>
      </c>
      <c r="U31" s="76">
        <v>17.3</v>
      </c>
    </row>
    <row r="32" spans="3:21" x14ac:dyDescent="0.25">
      <c r="C32" s="39" t="str">
        <f>CONCATENATE("Carga Total Repartida por Vigueta = SxW"," = ",D12,"x",H31,"          = ")</f>
        <v xml:space="preserve">Carga Total Repartida por Vigueta = SxW = 1x67          = </v>
      </c>
      <c r="D32" s="39"/>
      <c r="E32" s="39"/>
      <c r="F32" s="39"/>
      <c r="G32" s="39"/>
      <c r="H32" s="33">
        <f>D12*H31</f>
        <v>67</v>
      </c>
      <c r="I32" s="32" t="s">
        <v>129</v>
      </c>
      <c r="J32" s="32"/>
      <c r="K32" s="32"/>
      <c r="L32" s="127"/>
      <c r="M32" s="127"/>
      <c r="N32" s="75" t="s">
        <v>14</v>
      </c>
      <c r="O32" s="76">
        <v>62.8</v>
      </c>
      <c r="P32" s="76">
        <v>47.1</v>
      </c>
      <c r="Q32" s="76">
        <v>37.700000000000003</v>
      </c>
      <c r="R32" s="76">
        <v>31.4</v>
      </c>
      <c r="S32" s="76">
        <v>23.6</v>
      </c>
      <c r="T32" s="76">
        <v>18.899999999999999</v>
      </c>
      <c r="U32" s="76">
        <v>15.5</v>
      </c>
    </row>
    <row r="33" spans="3:21" x14ac:dyDescent="0.25">
      <c r="C33" s="32" t="str">
        <f>CONCATENATE("Carga Muerta Repartida por Vigueta = ","SxWd = ",D12,"x",H29,"    =")</f>
        <v>Carga Muerta Repartida por Vigueta = SxWd = 1x17    =</v>
      </c>
      <c r="D33" s="32"/>
      <c r="E33" s="32"/>
      <c r="F33" s="32"/>
      <c r="G33" s="32"/>
      <c r="H33" s="33">
        <f>D12*H29</f>
        <v>17</v>
      </c>
      <c r="I33" s="32" t="s">
        <v>129</v>
      </c>
      <c r="J33" s="32"/>
      <c r="K33" s="32"/>
      <c r="L33" s="128"/>
      <c r="M33" s="128"/>
      <c r="N33" s="77" t="s">
        <v>15</v>
      </c>
      <c r="O33" s="78">
        <v>56.6</v>
      </c>
      <c r="P33" s="78">
        <v>42.4</v>
      </c>
      <c r="Q33" s="78">
        <v>33.9</v>
      </c>
      <c r="R33" s="78">
        <v>28.3</v>
      </c>
      <c r="S33" s="78">
        <v>21.2</v>
      </c>
      <c r="T33" s="78">
        <v>17</v>
      </c>
      <c r="U33" s="78">
        <v>14.1</v>
      </c>
    </row>
    <row r="34" spans="3:21" x14ac:dyDescent="0.25">
      <c r="C34" s="32" t="str">
        <f>CONCATENATE("Sobrecarga Repartida por Vigueta = SxWl = ",D12,"x",H30,"   =")</f>
        <v>Sobrecarga Repartida por Vigueta = SxWl = 1x50   =</v>
      </c>
      <c r="D34" s="32"/>
      <c r="E34" s="32"/>
      <c r="F34" s="32"/>
      <c r="G34" s="32"/>
      <c r="H34" s="33">
        <f>D12*H30</f>
        <v>50</v>
      </c>
      <c r="I34" s="32" t="s">
        <v>129</v>
      </c>
      <c r="J34" s="32"/>
      <c r="K34" s="32"/>
    </row>
    <row r="35" spans="3:21" x14ac:dyDescent="0.25">
      <c r="C35" s="32"/>
      <c r="D35" s="32"/>
      <c r="E35" s="32"/>
      <c r="F35" s="32"/>
      <c r="G35" s="32"/>
      <c r="H35" s="32"/>
      <c r="I35" s="32"/>
      <c r="J35" s="32"/>
      <c r="K35" s="32"/>
    </row>
    <row r="36" spans="3:21" x14ac:dyDescent="0.25">
      <c r="C36" s="32" t="s">
        <v>185</v>
      </c>
      <c r="D36" s="32" t="s">
        <v>186</v>
      </c>
      <c r="E36" s="32">
        <f>H32*D10^2/8</f>
        <v>75.375</v>
      </c>
      <c r="F36" s="32" t="s">
        <v>187</v>
      </c>
      <c r="G36" s="32"/>
      <c r="H36" s="32"/>
      <c r="I36" s="32"/>
      <c r="J36" s="32"/>
      <c r="K36" s="32"/>
    </row>
    <row r="37" spans="3:21" x14ac:dyDescent="0.25">
      <c r="C37" s="32" t="s">
        <v>188</v>
      </c>
      <c r="D37" s="32" t="s">
        <v>189</v>
      </c>
      <c r="E37" s="32">
        <f>H32*D10/2</f>
        <v>100.5</v>
      </c>
      <c r="F37" s="32" t="s">
        <v>101</v>
      </c>
      <c r="G37" s="32"/>
      <c r="H37" s="32"/>
      <c r="I37" s="32"/>
      <c r="J37" s="32"/>
      <c r="K37" s="32"/>
    </row>
    <row r="38" spans="3:21" x14ac:dyDescent="0.25">
      <c r="C38" s="32"/>
      <c r="D38" s="32"/>
      <c r="E38" s="32"/>
      <c r="F38" s="32"/>
      <c r="G38" s="32"/>
      <c r="H38" s="32"/>
      <c r="I38" s="32"/>
      <c r="J38" s="32"/>
      <c r="K38" s="32"/>
    </row>
    <row r="39" spans="3:21" x14ac:dyDescent="0.25">
      <c r="C39" s="32" t="s">
        <v>190</v>
      </c>
      <c r="D39" s="32"/>
      <c r="E39" s="32"/>
      <c r="F39" s="32"/>
      <c r="G39" s="32"/>
      <c r="H39" s="32"/>
      <c r="I39" s="32"/>
      <c r="J39" s="32"/>
      <c r="K39" s="32"/>
    </row>
    <row r="40" spans="3:21" x14ac:dyDescent="0.25">
      <c r="C40" s="32" t="s">
        <v>191</v>
      </c>
      <c r="D40" s="32"/>
      <c r="E40" s="32"/>
      <c r="F40" s="32"/>
      <c r="G40" s="32"/>
      <c r="H40" s="32"/>
      <c r="I40" s="32"/>
      <c r="J40" s="32"/>
      <c r="K40" s="32"/>
    </row>
    <row r="41" spans="3:21" x14ac:dyDescent="0.25">
      <c r="C41" s="32"/>
      <c r="D41" s="32" t="s">
        <v>192</v>
      </c>
      <c r="E41" s="32">
        <f>1.8*H29*D12+H30</f>
        <v>80.599999999999994</v>
      </c>
      <c r="F41" s="32" t="s">
        <v>144</v>
      </c>
      <c r="G41" s="32"/>
      <c r="H41" s="32"/>
      <c r="I41" s="32"/>
      <c r="J41" s="32"/>
      <c r="K41" s="32"/>
    </row>
    <row r="42" spans="3:21" x14ac:dyDescent="0.25">
      <c r="C42" s="32" t="s">
        <v>193</v>
      </c>
      <c r="D42" s="34" t="s">
        <v>194</v>
      </c>
      <c r="E42" s="33">
        <v>250</v>
      </c>
      <c r="F42" s="34" t="s">
        <v>195</v>
      </c>
      <c r="G42" s="33">
        <f>ROUND(5*E41*((D10*100)^3)*E42/(384*100*D4),2)</f>
        <v>787.11</v>
      </c>
      <c r="H42" s="32" t="s">
        <v>97</v>
      </c>
      <c r="I42" s="32"/>
      <c r="J42" s="32"/>
      <c r="K42" s="32"/>
    </row>
    <row r="43" spans="3:21" x14ac:dyDescent="0.25">
      <c r="C43" s="32" t="s">
        <v>196</v>
      </c>
      <c r="D43" s="34" t="s">
        <v>194</v>
      </c>
      <c r="E43" s="33">
        <v>350</v>
      </c>
      <c r="F43" s="34" t="s">
        <v>195</v>
      </c>
      <c r="G43" s="33">
        <f>ROUND(5*H34*((D10*100)^3)*E43/(384*100*D4),2)</f>
        <v>683.59</v>
      </c>
      <c r="H43" s="32" t="s">
        <v>97</v>
      </c>
      <c r="I43" s="32"/>
      <c r="J43" s="32"/>
      <c r="K43" s="32"/>
    </row>
    <row r="44" spans="3:21" x14ac:dyDescent="0.25">
      <c r="C44" s="32"/>
      <c r="D44" s="32"/>
      <c r="E44" s="32"/>
      <c r="F44" s="40" t="s">
        <v>197</v>
      </c>
      <c r="G44" s="41">
        <f>MAX(G42:G43)</f>
        <v>787.11</v>
      </c>
      <c r="H44" s="42" t="s">
        <v>97</v>
      </c>
      <c r="I44" s="32"/>
      <c r="J44" s="32"/>
      <c r="K44" s="32"/>
      <c r="M44">
        <f>465/11</f>
        <v>42.272727272727273</v>
      </c>
    </row>
    <row r="45" spans="3:21" x14ac:dyDescent="0.25">
      <c r="C45" s="32"/>
      <c r="D45" s="32"/>
      <c r="E45" s="32"/>
      <c r="F45" s="32"/>
      <c r="G45" s="32"/>
      <c r="H45" s="32"/>
      <c r="I45" s="32"/>
      <c r="J45" s="32"/>
      <c r="K45" s="32"/>
    </row>
    <row r="46" spans="3:21" x14ac:dyDescent="0.25">
      <c r="C46" s="32" t="s">
        <v>198</v>
      </c>
      <c r="D46" s="32"/>
      <c r="E46" s="32"/>
      <c r="F46" s="32"/>
      <c r="G46" s="32"/>
      <c r="H46" s="32"/>
      <c r="I46" s="32"/>
      <c r="J46" s="32"/>
      <c r="K46" s="32"/>
    </row>
    <row r="47" spans="3:21" x14ac:dyDescent="0.25">
      <c r="C47" s="32"/>
      <c r="D47" s="32"/>
      <c r="E47" s="32"/>
      <c r="F47" s="32"/>
      <c r="G47" s="32"/>
      <c r="H47" s="32"/>
      <c r="I47" s="32"/>
      <c r="J47" s="32"/>
      <c r="K47" s="32"/>
    </row>
    <row r="48" spans="3:21" x14ac:dyDescent="0.25">
      <c r="C48" s="32"/>
      <c r="D48" s="32"/>
      <c r="E48" s="32"/>
      <c r="F48" s="32" t="s">
        <v>199</v>
      </c>
      <c r="G48" s="41">
        <f>ROUND(E36*100/(D5*1.1),2)</f>
        <v>68.52</v>
      </c>
      <c r="H48" s="32" t="s">
        <v>98</v>
      </c>
      <c r="I48" s="32"/>
      <c r="J48" s="32"/>
      <c r="K48" s="32"/>
    </row>
    <row r="49" spans="3:11" x14ac:dyDescent="0.25">
      <c r="C49" s="32"/>
      <c r="D49" s="32"/>
      <c r="E49" s="32"/>
      <c r="F49" s="32"/>
      <c r="G49" s="32"/>
      <c r="H49" s="32"/>
      <c r="I49" s="32"/>
      <c r="J49" s="32"/>
      <c r="K49" s="32"/>
    </row>
    <row r="50" spans="3:11" x14ac:dyDescent="0.25">
      <c r="C50" s="32"/>
      <c r="D50" s="32"/>
      <c r="E50" s="32"/>
      <c r="F50" s="32"/>
      <c r="G50" s="32"/>
      <c r="H50" s="32"/>
      <c r="I50" s="32"/>
      <c r="J50" s="32"/>
      <c r="K50" s="32"/>
    </row>
    <row r="51" spans="3:11" x14ac:dyDescent="0.25">
      <c r="C51" s="32" t="s">
        <v>200</v>
      </c>
      <c r="D51" s="32"/>
      <c r="E51" s="32"/>
      <c r="F51" s="32"/>
      <c r="G51" s="32"/>
      <c r="H51" s="32"/>
      <c r="I51" s="32"/>
      <c r="J51" s="32"/>
      <c r="K51" s="32"/>
    </row>
    <row r="52" spans="3:11" x14ac:dyDescent="0.25">
      <c r="C52" s="32"/>
      <c r="D52" s="32"/>
      <c r="E52" s="32"/>
      <c r="F52" s="32"/>
      <c r="G52" s="32"/>
      <c r="H52" s="32"/>
      <c r="I52" s="32"/>
      <c r="J52" s="32"/>
      <c r="K52" s="32"/>
    </row>
    <row r="53" spans="3:11" x14ac:dyDescent="0.25">
      <c r="C53" s="34" t="s">
        <v>201</v>
      </c>
      <c r="D53" s="33">
        <f>G48</f>
        <v>68.52</v>
      </c>
      <c r="E53" s="117" t="s">
        <v>203</v>
      </c>
      <c r="F53" s="117"/>
      <c r="G53" s="33">
        <f>D18</f>
        <v>130.69999999999999</v>
      </c>
      <c r="H53" s="42" t="str">
        <f>IF(D53&lt;G53,"……..(OK)","……..(Cambiar Sección)")</f>
        <v>……..(OK)</v>
      </c>
      <c r="I53" s="32"/>
      <c r="J53" s="32"/>
      <c r="K53" s="32"/>
    </row>
    <row r="54" spans="3:11" x14ac:dyDescent="0.25">
      <c r="C54" s="34" t="s">
        <v>202</v>
      </c>
      <c r="D54" s="32">
        <f>G44</f>
        <v>787.11</v>
      </c>
      <c r="E54" s="117" t="s">
        <v>204</v>
      </c>
      <c r="F54" s="117"/>
      <c r="G54" s="33">
        <f>D17</f>
        <v>914.6</v>
      </c>
      <c r="H54" s="42" t="str">
        <f>IF(D54&lt;G54,"……..(OK)","……..(Cambiar Sección)")</f>
        <v>……..(OK)</v>
      </c>
      <c r="I54" s="32"/>
      <c r="J54" s="32"/>
      <c r="K54" s="32"/>
    </row>
    <row r="55" spans="3:11" x14ac:dyDescent="0.25">
      <c r="C55" s="32"/>
      <c r="D55" s="32"/>
      <c r="E55" s="32"/>
      <c r="F55" s="32"/>
      <c r="G55" s="32"/>
      <c r="H55" s="32"/>
      <c r="I55" s="32"/>
      <c r="J55" s="32"/>
      <c r="K55" s="32"/>
    </row>
    <row r="56" spans="3:11" x14ac:dyDescent="0.25">
      <c r="C56" s="32" t="s">
        <v>205</v>
      </c>
      <c r="D56" s="32"/>
      <c r="E56" s="32"/>
      <c r="F56" s="32"/>
      <c r="G56" s="32"/>
      <c r="H56" s="32"/>
      <c r="I56" s="32"/>
      <c r="J56" s="32"/>
      <c r="K56" s="32"/>
    </row>
    <row r="57" spans="3:11" x14ac:dyDescent="0.25">
      <c r="C57" s="32"/>
      <c r="D57" s="32"/>
      <c r="E57" s="32"/>
      <c r="F57" s="32"/>
      <c r="G57" s="32"/>
      <c r="H57" s="32"/>
      <c r="I57" s="32"/>
      <c r="J57" s="32"/>
      <c r="K57" s="32"/>
    </row>
    <row r="58" spans="3:11" x14ac:dyDescent="0.25">
      <c r="C58" s="32"/>
      <c r="D58" s="34" t="s">
        <v>206</v>
      </c>
      <c r="E58" t="str">
        <f>CONCATENATE(E37," - ",H32," x ",VLOOKUP(D15,Parámetros!A7:M70,12,FALSE)/100)</f>
        <v>100.5 - 67 x 0.14</v>
      </c>
      <c r="G58" s="32"/>
      <c r="H58" s="32"/>
      <c r="I58" s="32"/>
      <c r="J58" s="32"/>
      <c r="K58" s="32"/>
    </row>
    <row r="59" spans="3:11" x14ac:dyDescent="0.25">
      <c r="C59" s="32"/>
      <c r="D59" s="34" t="s">
        <v>206</v>
      </c>
      <c r="E59" s="33">
        <f>E37-H32*VLOOKUP(D15,Parámetros!A7:M70,12,FALSE)/100</f>
        <v>91.12</v>
      </c>
      <c r="F59" s="32" t="s">
        <v>101</v>
      </c>
      <c r="G59" s="32"/>
      <c r="H59" s="32"/>
      <c r="I59" s="32"/>
      <c r="J59" s="32"/>
      <c r="K59" s="32"/>
    </row>
    <row r="60" spans="3:11" x14ac:dyDescent="0.25">
      <c r="C60" s="32"/>
      <c r="D60" s="32"/>
      <c r="E60" s="32"/>
      <c r="F60" s="32"/>
      <c r="G60" s="32"/>
      <c r="H60" s="32"/>
      <c r="I60" s="32"/>
      <c r="J60" s="32"/>
      <c r="K60" s="32"/>
    </row>
    <row r="61" spans="3:11" x14ac:dyDescent="0.25">
      <c r="C61" s="32"/>
      <c r="D61" s="46" t="s">
        <v>207</v>
      </c>
      <c r="E61" s="129" t="str">
        <f>CONCATENATE(ROUND(1.5*E59/((VLOOKUP(D15,Parámetros!A7:M70,12,FALSE)*VLOOKUP(D15,Parámetros!A7:M70,13,FALSE))),2),"  &lt;  ","fv = ",D8*1.1," Kg/cm2",IF(1.5*E59/((VLOOKUP(D15,Parámetros!A7:M70,12,FALSE)*VLOOKUP(D15,Parámetros!A7:M70,13,FALSE)))&lt;D8*1.1,"........(OK)","Cambiar Sección"))</f>
        <v>2.44  &lt;  fv = 8.8 Kg/cm2........(OK)</v>
      </c>
      <c r="F61" s="129"/>
      <c r="G61" s="129"/>
      <c r="H61" s="129"/>
      <c r="I61" s="32"/>
      <c r="J61" s="32"/>
      <c r="K61" s="32"/>
    </row>
    <row r="62" spans="3:11" x14ac:dyDescent="0.25">
      <c r="C62" s="32"/>
      <c r="D62" s="32"/>
      <c r="E62" s="32"/>
      <c r="F62" s="32"/>
      <c r="G62" s="32"/>
      <c r="H62" s="32"/>
      <c r="I62" s="32"/>
      <c r="J62" s="32"/>
      <c r="K62" s="32"/>
    </row>
    <row r="63" spans="3:11" x14ac:dyDescent="0.25">
      <c r="C63" s="32" t="s">
        <v>276</v>
      </c>
      <c r="D63" s="32"/>
      <c r="E63" s="32"/>
      <c r="F63" s="32"/>
      <c r="G63" s="32"/>
      <c r="H63" s="32"/>
      <c r="I63" s="32"/>
      <c r="J63" s="32"/>
      <c r="K63" s="32"/>
    </row>
    <row r="64" spans="3:11" x14ac:dyDescent="0.25">
      <c r="C64" s="32"/>
      <c r="D64" s="32"/>
      <c r="E64" s="32" t="s">
        <v>210</v>
      </c>
      <c r="F64" s="32">
        <v>3</v>
      </c>
      <c r="G64" s="32"/>
      <c r="H64" s="32"/>
      <c r="I64" s="32"/>
      <c r="J64" s="32"/>
      <c r="K64" s="32"/>
    </row>
    <row r="65" spans="3:11" x14ac:dyDescent="0.25">
      <c r="C65" s="32"/>
      <c r="D65" s="32"/>
      <c r="E65" s="32" t="s">
        <v>277</v>
      </c>
      <c r="F65" s="32">
        <v>8</v>
      </c>
      <c r="G65" s="32"/>
      <c r="H65" s="32"/>
      <c r="I65" s="32"/>
      <c r="J65" s="32"/>
      <c r="K65" s="32"/>
    </row>
    <row r="66" spans="3:11" x14ac:dyDescent="0.25">
      <c r="C66" s="32"/>
      <c r="D66" s="32"/>
      <c r="E66" s="32" t="s">
        <v>278</v>
      </c>
      <c r="F66" s="49">
        <f>F65/F64</f>
        <v>2.6666666666666665</v>
      </c>
      <c r="G66" s="32"/>
      <c r="H66" s="32"/>
      <c r="I66" s="32"/>
      <c r="J66" s="32"/>
      <c r="K66" s="32"/>
    </row>
    <row r="67" spans="3:11" x14ac:dyDescent="0.25">
      <c r="C67" s="32"/>
      <c r="D67" s="32"/>
      <c r="E67" s="32"/>
      <c r="F67" s="32"/>
      <c r="G67" s="32"/>
      <c r="H67" s="32"/>
      <c r="I67" s="32"/>
      <c r="J67" s="32"/>
      <c r="K67" s="32"/>
    </row>
    <row r="68" spans="3:11" x14ac:dyDescent="0.25">
      <c r="C68" s="32"/>
      <c r="D68" s="32"/>
      <c r="E68" s="32"/>
      <c r="F68" s="32"/>
      <c r="G68" s="32"/>
      <c r="H68" s="32"/>
      <c r="I68" s="32"/>
      <c r="J68" s="32"/>
      <c r="K68" s="32"/>
    </row>
    <row r="69" spans="3:11" x14ac:dyDescent="0.25">
      <c r="C69" s="32" t="s">
        <v>208</v>
      </c>
      <c r="D69" s="32"/>
      <c r="E69" s="32"/>
      <c r="F69" s="32"/>
      <c r="G69" s="32"/>
      <c r="H69" s="32"/>
      <c r="I69" s="32"/>
      <c r="J69" s="32"/>
      <c r="K69" s="32"/>
    </row>
    <row r="70" spans="3:11" x14ac:dyDescent="0.25">
      <c r="C70" s="32"/>
      <c r="D70" s="34" t="s">
        <v>209</v>
      </c>
      <c r="E70">
        <f>E37</f>
        <v>100.5</v>
      </c>
      <c r="F70" s="32" t="s">
        <v>101</v>
      </c>
      <c r="G70" s="32"/>
      <c r="H70" s="32"/>
      <c r="I70" s="32"/>
      <c r="J70" s="32"/>
      <c r="K70" s="32"/>
    </row>
    <row r="71" spans="3:11" x14ac:dyDescent="0.25">
      <c r="C71" s="32"/>
      <c r="D71" s="47" t="s">
        <v>211</v>
      </c>
      <c r="E71" s="50">
        <f>ROUNDUP(E70/(VLOOKUP(D15,Parámetros!A7:M70,13,FALSE)*D6),1)</f>
        <v>0.4</v>
      </c>
      <c r="F71" s="48" t="s">
        <v>121</v>
      </c>
      <c r="G71" s="32"/>
      <c r="H71" s="32"/>
      <c r="I71" s="32"/>
      <c r="J71" s="32"/>
      <c r="K71" s="32"/>
    </row>
    <row r="72" spans="3:11" x14ac:dyDescent="0.25">
      <c r="C72" s="32"/>
      <c r="D72" s="32"/>
      <c r="E72" s="32"/>
      <c r="F72" s="32"/>
      <c r="G72" s="32"/>
      <c r="H72" s="32"/>
      <c r="I72" s="32"/>
      <c r="J72" s="32"/>
      <c r="K72" s="32"/>
    </row>
    <row r="73" spans="3:11" x14ac:dyDescent="0.25">
      <c r="C73" s="130" t="str">
        <f>CONCATENATE("USAR VIGUETAS DE SECCIÓN ",D15," cm espaciadas a S = ",D12*100," cm  -  MADERA GRUPO ",D3)</f>
        <v>USAR VIGUETAS DE SECCIÓN 4 x 14 cm espaciadas a S = 100 cm  -  MADERA GRUPO C</v>
      </c>
      <c r="D73" s="130"/>
      <c r="E73" s="130"/>
      <c r="F73" s="130"/>
      <c r="G73" s="130"/>
      <c r="H73" s="130"/>
      <c r="I73" s="130"/>
      <c r="J73" s="130"/>
      <c r="K73" s="130"/>
    </row>
    <row r="74" spans="3:11" x14ac:dyDescent="0.25">
      <c r="C74" s="32"/>
      <c r="D74" s="32"/>
      <c r="E74" s="32"/>
      <c r="F74" s="32"/>
      <c r="G74" s="32"/>
      <c r="H74" s="32"/>
      <c r="I74" s="32"/>
      <c r="J74" s="32"/>
      <c r="K74" s="32"/>
    </row>
    <row r="76" spans="3:11" x14ac:dyDescent="0.25">
      <c r="C76" s="32"/>
      <c r="D76" s="32"/>
      <c r="E76" s="32"/>
      <c r="F76" s="32"/>
      <c r="G76" s="32"/>
      <c r="H76" s="32"/>
      <c r="I76" s="32"/>
      <c r="J76" s="32"/>
      <c r="K76" s="32"/>
    </row>
    <row r="77" spans="3:11" x14ac:dyDescent="0.25">
      <c r="C77" s="32"/>
      <c r="D77" s="32"/>
      <c r="E77" s="32"/>
      <c r="F77" s="32"/>
      <c r="G77" s="32"/>
      <c r="H77" s="32"/>
      <c r="I77" s="32"/>
      <c r="J77" s="32"/>
      <c r="K77" s="32"/>
    </row>
    <row r="78" spans="3:11" x14ac:dyDescent="0.25">
      <c r="C78" s="32"/>
      <c r="D78" s="32"/>
      <c r="E78" s="32"/>
      <c r="F78" s="32"/>
      <c r="G78" s="32"/>
      <c r="H78" s="32"/>
      <c r="I78" s="32"/>
      <c r="J78" s="32"/>
      <c r="K78" s="32"/>
    </row>
    <row r="79" spans="3:11" x14ac:dyDescent="0.25">
      <c r="C79" s="32"/>
      <c r="D79" s="32"/>
      <c r="E79" s="32"/>
      <c r="F79" s="32"/>
      <c r="G79" s="32"/>
      <c r="H79" s="32"/>
      <c r="I79" s="32"/>
      <c r="J79" s="32"/>
      <c r="K79" s="32"/>
    </row>
    <row r="80" spans="3:11" x14ac:dyDescent="0.25">
      <c r="C80" s="32"/>
      <c r="D80" s="32"/>
      <c r="E80" s="32"/>
      <c r="F80" s="32"/>
      <c r="G80" s="32"/>
      <c r="H80" s="32"/>
      <c r="I80" s="32"/>
      <c r="J80" s="32"/>
      <c r="K80" s="32"/>
    </row>
    <row r="81" spans="3:11" x14ac:dyDescent="0.25">
      <c r="C81" s="32"/>
      <c r="D81" s="32"/>
      <c r="E81" s="32"/>
      <c r="F81" s="32"/>
      <c r="G81" s="32"/>
      <c r="H81" s="32"/>
      <c r="I81" s="32"/>
      <c r="J81" s="32"/>
      <c r="K81" s="32"/>
    </row>
    <row r="82" spans="3:11" x14ac:dyDescent="0.25">
      <c r="C82" s="32"/>
      <c r="D82" s="32"/>
      <c r="E82" s="32"/>
      <c r="F82" s="32"/>
      <c r="G82" s="32"/>
      <c r="H82" s="32"/>
      <c r="I82" s="32"/>
      <c r="J82" s="32"/>
      <c r="K82" s="32"/>
    </row>
    <row r="83" spans="3:11" x14ac:dyDescent="0.25">
      <c r="C83" s="32"/>
      <c r="D83" s="32"/>
      <c r="E83" s="32"/>
      <c r="F83" s="32"/>
      <c r="G83" s="32"/>
      <c r="H83" s="32"/>
      <c r="I83" s="32"/>
      <c r="J83" s="32"/>
      <c r="K83" s="32"/>
    </row>
    <row r="84" spans="3:11" x14ac:dyDescent="0.25">
      <c r="C84" s="32"/>
      <c r="D84" s="32"/>
      <c r="E84" s="32"/>
      <c r="F84" s="32"/>
      <c r="G84" s="32"/>
      <c r="H84" s="32"/>
      <c r="I84" s="32"/>
      <c r="J84" s="32"/>
      <c r="K84" s="32"/>
    </row>
    <row r="85" spans="3:11" x14ac:dyDescent="0.25">
      <c r="C85" s="32"/>
      <c r="D85" s="32"/>
      <c r="E85" s="32"/>
      <c r="F85" s="32"/>
      <c r="G85" s="32"/>
      <c r="H85" s="32"/>
      <c r="I85" s="32"/>
      <c r="J85" s="32"/>
      <c r="K85" s="32"/>
    </row>
    <row r="86" spans="3:11" x14ac:dyDescent="0.25">
      <c r="C86" s="32"/>
      <c r="D86" s="32"/>
      <c r="E86" s="32"/>
      <c r="F86" s="32"/>
      <c r="G86" s="32"/>
      <c r="H86" s="32"/>
      <c r="I86" s="32"/>
      <c r="J86" s="32"/>
      <c r="K86" s="32"/>
    </row>
    <row r="87" spans="3:11" x14ac:dyDescent="0.25">
      <c r="C87" s="32"/>
      <c r="D87" s="32"/>
      <c r="E87" s="32"/>
      <c r="F87" s="32"/>
      <c r="G87" s="32"/>
      <c r="H87" s="32"/>
      <c r="I87" s="32"/>
      <c r="J87" s="32"/>
      <c r="K87" s="32"/>
    </row>
    <row r="88" spans="3:11" x14ac:dyDescent="0.25">
      <c r="C88" s="32"/>
      <c r="D88" s="32"/>
      <c r="E88" s="32"/>
      <c r="F88" s="32"/>
      <c r="G88" s="32"/>
      <c r="H88" s="32"/>
      <c r="I88" s="32"/>
      <c r="J88" s="32"/>
      <c r="K88" s="32"/>
    </row>
    <row r="89" spans="3:11" x14ac:dyDescent="0.25">
      <c r="C89" s="32"/>
      <c r="D89" s="32"/>
      <c r="E89" s="32"/>
      <c r="F89" s="32"/>
      <c r="G89" s="32"/>
      <c r="H89" s="32"/>
      <c r="I89" s="32"/>
      <c r="J89" s="32"/>
      <c r="K89" s="32"/>
    </row>
    <row r="90" spans="3:11" x14ac:dyDescent="0.25">
      <c r="C90" s="32"/>
      <c r="D90" s="32"/>
      <c r="E90" s="32"/>
      <c r="F90" s="32"/>
      <c r="G90" s="32"/>
      <c r="H90" s="32"/>
      <c r="I90" s="32"/>
      <c r="J90" s="32"/>
      <c r="K90" s="32"/>
    </row>
    <row r="91" spans="3:11" x14ac:dyDescent="0.25">
      <c r="C91" s="32"/>
      <c r="D91" s="32"/>
      <c r="E91" s="32"/>
      <c r="F91" s="32"/>
      <c r="G91" s="32"/>
      <c r="H91" s="32"/>
      <c r="I91" s="32"/>
      <c r="J91" s="32"/>
      <c r="K91" s="32"/>
    </row>
    <row r="92" spans="3:11" x14ac:dyDescent="0.25">
      <c r="C92" s="32"/>
      <c r="D92" s="32"/>
      <c r="E92" s="32"/>
      <c r="F92" s="32"/>
      <c r="G92" s="32"/>
      <c r="H92" s="32"/>
      <c r="I92" s="32"/>
      <c r="J92" s="32"/>
      <c r="K92" s="32"/>
    </row>
    <row r="93" spans="3:11" x14ac:dyDescent="0.25">
      <c r="C93" s="32"/>
      <c r="D93" s="32"/>
      <c r="E93" s="32"/>
      <c r="F93" s="32"/>
      <c r="G93" s="32"/>
      <c r="H93" s="32"/>
      <c r="I93" s="32"/>
      <c r="J93" s="32"/>
      <c r="K93" s="32"/>
    </row>
    <row r="94" spans="3:11" x14ac:dyDescent="0.25">
      <c r="C94" s="32"/>
      <c r="D94" s="32"/>
      <c r="E94" s="32"/>
      <c r="F94" s="32"/>
      <c r="G94" s="32"/>
      <c r="H94" s="32"/>
      <c r="I94" s="32"/>
      <c r="J94" s="32"/>
      <c r="K94" s="32"/>
    </row>
    <row r="95" spans="3:11" x14ac:dyDescent="0.25">
      <c r="C95" s="32"/>
      <c r="D95" s="32"/>
      <c r="E95" s="32"/>
      <c r="F95" s="32"/>
      <c r="G95" s="32"/>
      <c r="H95" s="32"/>
      <c r="I95" s="32"/>
      <c r="J95" s="32"/>
      <c r="K95" s="32"/>
    </row>
    <row r="96" spans="3:11" x14ac:dyDescent="0.25">
      <c r="C96" s="32"/>
      <c r="D96" s="32"/>
      <c r="E96" s="32"/>
      <c r="F96" s="32"/>
      <c r="G96" s="32"/>
      <c r="H96" s="32"/>
      <c r="I96" s="32"/>
      <c r="J96" s="32"/>
      <c r="K96" s="32"/>
    </row>
    <row r="97" spans="3:11" x14ac:dyDescent="0.25">
      <c r="C97" s="32"/>
      <c r="D97" s="32"/>
      <c r="E97" s="32"/>
      <c r="F97" s="32"/>
      <c r="G97" s="32"/>
      <c r="H97" s="32"/>
      <c r="I97" s="32"/>
      <c r="J97" s="32"/>
      <c r="K97" s="32"/>
    </row>
    <row r="98" spans="3:11" x14ac:dyDescent="0.25">
      <c r="C98" s="32"/>
      <c r="D98" s="32"/>
      <c r="E98" s="32"/>
      <c r="F98" s="32"/>
      <c r="G98" s="32"/>
      <c r="H98" s="32"/>
      <c r="I98" s="32"/>
      <c r="J98" s="32"/>
      <c r="K98" s="32"/>
    </row>
    <row r="99" spans="3:11" x14ac:dyDescent="0.25">
      <c r="C99" s="32"/>
      <c r="D99" s="32"/>
      <c r="E99" s="32"/>
      <c r="F99" s="32"/>
      <c r="G99" s="32"/>
      <c r="H99" s="32"/>
      <c r="I99" s="32"/>
      <c r="J99" s="32"/>
      <c r="K99" s="32"/>
    </row>
    <row r="100" spans="3:11" x14ac:dyDescent="0.25"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3:11" x14ac:dyDescent="0.25"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3:11" x14ac:dyDescent="0.25">
      <c r="C102" s="32"/>
      <c r="D102" s="32"/>
      <c r="E102" s="32"/>
      <c r="F102" s="32"/>
      <c r="G102" s="32"/>
      <c r="H102" s="32"/>
      <c r="I102" s="32"/>
      <c r="J102" s="32"/>
      <c r="K102" s="32"/>
    </row>
    <row r="103" spans="3:11" x14ac:dyDescent="0.25">
      <c r="C103" s="32"/>
      <c r="D103" s="32"/>
      <c r="E103" s="32"/>
      <c r="F103" s="32"/>
      <c r="G103" s="32"/>
      <c r="H103" s="32"/>
      <c r="I103" s="32"/>
      <c r="J103" s="32"/>
      <c r="K103" s="32"/>
    </row>
    <row r="104" spans="3:11" x14ac:dyDescent="0.25">
      <c r="C104" s="32"/>
      <c r="D104" s="32"/>
      <c r="E104" s="32"/>
      <c r="F104" s="32"/>
      <c r="G104" s="32"/>
      <c r="H104" s="32"/>
      <c r="I104" s="32"/>
      <c r="J104" s="32"/>
      <c r="K104" s="32"/>
    </row>
    <row r="105" spans="3:11" x14ac:dyDescent="0.25">
      <c r="C105" s="32"/>
      <c r="D105" s="32"/>
      <c r="E105" s="32"/>
      <c r="F105" s="32"/>
      <c r="G105" s="32"/>
      <c r="H105" s="32"/>
      <c r="I105" s="32"/>
      <c r="J105" s="32"/>
      <c r="K105" s="32"/>
    </row>
    <row r="106" spans="3:11" x14ac:dyDescent="0.25">
      <c r="C106" s="32"/>
      <c r="D106" s="32"/>
      <c r="E106" s="32"/>
      <c r="F106" s="32"/>
      <c r="G106" s="32"/>
      <c r="H106" s="32"/>
      <c r="I106" s="32"/>
      <c r="J106" s="32"/>
      <c r="K106" s="32"/>
    </row>
    <row r="107" spans="3:11" x14ac:dyDescent="0.25">
      <c r="C107" s="32"/>
      <c r="D107" s="32"/>
      <c r="E107" s="32"/>
      <c r="F107" s="32"/>
      <c r="G107" s="32"/>
      <c r="H107" s="32"/>
      <c r="I107" s="32"/>
      <c r="J107" s="32"/>
      <c r="K107" s="32"/>
    </row>
    <row r="108" spans="3:11" x14ac:dyDescent="0.25">
      <c r="C108" s="32"/>
      <c r="D108" s="32"/>
      <c r="E108" s="32"/>
      <c r="F108" s="32"/>
      <c r="G108" s="32"/>
      <c r="H108" s="32"/>
      <c r="I108" s="32"/>
      <c r="J108" s="32"/>
      <c r="K108" s="32"/>
    </row>
    <row r="109" spans="3:11" x14ac:dyDescent="0.25">
      <c r="C109" s="32"/>
      <c r="D109" s="32"/>
      <c r="E109" s="32"/>
      <c r="F109" s="32"/>
      <c r="G109" s="32"/>
      <c r="H109" s="32"/>
      <c r="I109" s="32"/>
      <c r="J109" s="32"/>
      <c r="K109" s="32"/>
    </row>
    <row r="110" spans="3:11" x14ac:dyDescent="0.25">
      <c r="C110" s="32"/>
      <c r="D110" s="32"/>
      <c r="E110" s="32"/>
      <c r="F110" s="32"/>
      <c r="G110" s="32"/>
      <c r="H110" s="32"/>
      <c r="I110" s="32"/>
      <c r="J110" s="32"/>
      <c r="K110" s="32"/>
    </row>
    <row r="111" spans="3:11" x14ac:dyDescent="0.25">
      <c r="C111" s="32"/>
      <c r="D111" s="32"/>
      <c r="E111" s="32"/>
      <c r="F111" s="32"/>
      <c r="G111" s="32"/>
      <c r="H111" s="32"/>
      <c r="I111" s="32"/>
      <c r="J111" s="32"/>
      <c r="K111" s="32"/>
    </row>
    <row r="112" spans="3:11" x14ac:dyDescent="0.25"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3:11" x14ac:dyDescent="0.25">
      <c r="C113" s="32"/>
      <c r="D113" s="32"/>
      <c r="E113" s="32"/>
      <c r="F113" s="32"/>
      <c r="G113" s="32"/>
      <c r="H113" s="32"/>
      <c r="I113" s="32"/>
      <c r="J113" s="32"/>
      <c r="K113" s="32"/>
    </row>
    <row r="114" spans="3:11" x14ac:dyDescent="0.25">
      <c r="C114" s="32"/>
      <c r="D114" s="32"/>
      <c r="E114" s="32"/>
      <c r="F114" s="32"/>
      <c r="G114" s="32"/>
      <c r="H114" s="32"/>
      <c r="I114" s="32"/>
      <c r="J114" s="32"/>
      <c r="K114" s="32"/>
    </row>
    <row r="115" spans="3:11" x14ac:dyDescent="0.25">
      <c r="C115" s="32"/>
      <c r="D115" s="32"/>
      <c r="E115" s="32"/>
      <c r="F115" s="32"/>
      <c r="G115" s="32"/>
      <c r="H115" s="32"/>
      <c r="I115" s="32"/>
      <c r="J115" s="32"/>
      <c r="K115" s="32"/>
    </row>
    <row r="116" spans="3:11" x14ac:dyDescent="0.25">
      <c r="C116" s="32"/>
      <c r="D116" s="32"/>
      <c r="E116" s="32"/>
      <c r="F116" s="32"/>
      <c r="G116" s="32"/>
      <c r="H116" s="32"/>
      <c r="I116" s="32"/>
      <c r="J116" s="32"/>
      <c r="K116" s="32"/>
    </row>
    <row r="117" spans="3:11" x14ac:dyDescent="0.25">
      <c r="C117" s="32"/>
      <c r="D117" s="32"/>
      <c r="E117" s="32"/>
      <c r="F117" s="32"/>
      <c r="G117" s="32"/>
      <c r="H117" s="32"/>
      <c r="I117" s="32"/>
      <c r="J117" s="32"/>
      <c r="K117" s="32"/>
    </row>
    <row r="118" spans="3:11" x14ac:dyDescent="0.25">
      <c r="C118" s="32"/>
      <c r="D118" s="32"/>
      <c r="E118" s="32"/>
      <c r="F118" s="32"/>
      <c r="G118" s="32"/>
      <c r="H118" s="32"/>
      <c r="I118" s="32"/>
      <c r="J118" s="32"/>
      <c r="K118" s="32"/>
    </row>
    <row r="119" spans="3:11" x14ac:dyDescent="0.25">
      <c r="C119" s="32"/>
      <c r="D119" s="32"/>
      <c r="E119" s="32"/>
      <c r="F119" s="32"/>
      <c r="G119" s="32"/>
      <c r="H119" s="32"/>
      <c r="I119" s="32"/>
      <c r="J119" s="32"/>
      <c r="K119" s="32"/>
    </row>
    <row r="120" spans="3:11" x14ac:dyDescent="0.25">
      <c r="C120" s="32"/>
      <c r="D120" s="32"/>
      <c r="E120" s="32"/>
      <c r="F120" s="32"/>
      <c r="G120" s="32"/>
      <c r="H120" s="32"/>
      <c r="I120" s="32"/>
      <c r="J120" s="32"/>
      <c r="K120" s="32"/>
    </row>
    <row r="121" spans="3:11" x14ac:dyDescent="0.25">
      <c r="C121" s="32"/>
      <c r="D121" s="32"/>
      <c r="E121" s="32"/>
      <c r="F121" s="32"/>
      <c r="G121" s="32"/>
      <c r="H121" s="32"/>
      <c r="I121" s="32"/>
      <c r="J121" s="32"/>
      <c r="K121" s="32"/>
    </row>
    <row r="122" spans="3:11" x14ac:dyDescent="0.25">
      <c r="C122" s="32"/>
      <c r="D122" s="32"/>
      <c r="E122" s="32"/>
      <c r="F122" s="32"/>
      <c r="G122" s="32"/>
      <c r="H122" s="32"/>
      <c r="I122" s="32"/>
      <c r="J122" s="32"/>
      <c r="K122" s="32"/>
    </row>
    <row r="123" spans="3:11" x14ac:dyDescent="0.25"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3:11" x14ac:dyDescent="0.25">
      <c r="C124" s="32"/>
      <c r="D124" s="32"/>
      <c r="E124" s="32"/>
      <c r="F124" s="32"/>
      <c r="G124" s="32"/>
      <c r="H124" s="32"/>
      <c r="I124" s="32"/>
      <c r="J124" s="32"/>
      <c r="K124" s="32"/>
    </row>
    <row r="125" spans="3:11" x14ac:dyDescent="0.25">
      <c r="C125" s="32"/>
      <c r="D125" s="32"/>
      <c r="E125" s="32"/>
      <c r="F125" s="32"/>
      <c r="G125" s="32"/>
      <c r="H125" s="32"/>
      <c r="I125" s="32"/>
      <c r="J125" s="32"/>
      <c r="K125" s="32"/>
    </row>
    <row r="126" spans="3:11" x14ac:dyDescent="0.25"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3:11" x14ac:dyDescent="0.25">
      <c r="C127" s="32"/>
      <c r="D127" s="32"/>
      <c r="E127" s="32"/>
      <c r="F127" s="32"/>
      <c r="G127" s="32"/>
      <c r="H127" s="32"/>
      <c r="I127" s="32"/>
      <c r="J127" s="32"/>
      <c r="K127" s="32"/>
    </row>
    <row r="128" spans="3:11" x14ac:dyDescent="0.25">
      <c r="C128" s="32"/>
      <c r="D128" s="32"/>
      <c r="E128" s="32"/>
      <c r="F128" s="32"/>
      <c r="G128" s="32"/>
      <c r="H128" s="32"/>
      <c r="I128" s="32"/>
      <c r="J128" s="32"/>
      <c r="K128" s="32"/>
    </row>
    <row r="129" spans="3:11" x14ac:dyDescent="0.25">
      <c r="C129" s="32"/>
      <c r="D129" s="32"/>
      <c r="E129" s="32"/>
      <c r="F129" s="32"/>
      <c r="G129" s="32"/>
      <c r="H129" s="32"/>
      <c r="I129" s="32"/>
      <c r="J129" s="32"/>
      <c r="K129" s="32"/>
    </row>
    <row r="130" spans="3:11" x14ac:dyDescent="0.25">
      <c r="C130" s="32"/>
      <c r="D130" s="32"/>
      <c r="E130" s="32"/>
      <c r="F130" s="32"/>
      <c r="G130" s="32"/>
      <c r="H130" s="32"/>
      <c r="I130" s="32"/>
      <c r="J130" s="32"/>
      <c r="K130" s="32"/>
    </row>
    <row r="131" spans="3:11" x14ac:dyDescent="0.25">
      <c r="C131" s="32"/>
      <c r="D131" s="32"/>
      <c r="E131" s="32"/>
      <c r="F131" s="32"/>
      <c r="G131" s="32"/>
      <c r="H131" s="32"/>
      <c r="I131" s="32"/>
      <c r="J131" s="32"/>
      <c r="K131" s="32"/>
    </row>
    <row r="132" spans="3:11" x14ac:dyDescent="0.25">
      <c r="C132" s="32"/>
      <c r="D132" s="32"/>
      <c r="E132" s="32"/>
      <c r="F132" s="32"/>
      <c r="G132" s="32"/>
      <c r="H132" s="32"/>
      <c r="I132" s="32"/>
      <c r="J132" s="32"/>
      <c r="K132" s="32"/>
    </row>
    <row r="133" spans="3:11" x14ac:dyDescent="0.25">
      <c r="C133" s="32"/>
      <c r="D133" s="32"/>
      <c r="E133" s="32"/>
      <c r="F133" s="32"/>
      <c r="G133" s="32"/>
      <c r="H133" s="32"/>
      <c r="I133" s="32"/>
      <c r="J133" s="32"/>
      <c r="K133" s="32"/>
    </row>
    <row r="134" spans="3:11" x14ac:dyDescent="0.25">
      <c r="C134" s="32"/>
      <c r="D134" s="32"/>
      <c r="E134" s="32"/>
      <c r="F134" s="32"/>
      <c r="G134" s="32"/>
      <c r="H134" s="32"/>
      <c r="I134" s="32"/>
      <c r="J134" s="32"/>
      <c r="K134" s="32"/>
    </row>
    <row r="135" spans="3:11" x14ac:dyDescent="0.25">
      <c r="C135" s="32"/>
      <c r="D135" s="32"/>
      <c r="E135" s="32"/>
      <c r="F135" s="32"/>
      <c r="G135" s="32"/>
      <c r="H135" s="32"/>
      <c r="I135" s="32"/>
      <c r="J135" s="32"/>
      <c r="K135" s="32"/>
    </row>
    <row r="136" spans="3:11" x14ac:dyDescent="0.25">
      <c r="C136" s="32"/>
      <c r="D136" s="32"/>
      <c r="E136" s="32"/>
      <c r="F136" s="32"/>
      <c r="G136" s="32"/>
      <c r="H136" s="32"/>
      <c r="I136" s="32"/>
      <c r="J136" s="32"/>
      <c r="K136" s="32"/>
    </row>
    <row r="137" spans="3:11" x14ac:dyDescent="0.25">
      <c r="C137" s="32"/>
      <c r="D137" s="32"/>
      <c r="E137" s="32"/>
      <c r="F137" s="32"/>
      <c r="G137" s="32"/>
      <c r="H137" s="32"/>
      <c r="I137" s="32"/>
      <c r="J137" s="32"/>
      <c r="K137" s="32"/>
    </row>
    <row r="138" spans="3:11" x14ac:dyDescent="0.25">
      <c r="C138" s="32"/>
      <c r="D138" s="32"/>
      <c r="E138" s="32"/>
      <c r="F138" s="32"/>
      <c r="G138" s="32"/>
      <c r="H138" s="32"/>
      <c r="I138" s="32"/>
      <c r="J138" s="32"/>
      <c r="K138" s="32"/>
    </row>
    <row r="139" spans="3:11" x14ac:dyDescent="0.25">
      <c r="C139" s="32"/>
      <c r="D139" s="32"/>
      <c r="E139" s="32"/>
      <c r="F139" s="32"/>
      <c r="G139" s="32"/>
      <c r="H139" s="32"/>
      <c r="I139" s="32"/>
      <c r="J139" s="32"/>
      <c r="K139" s="32"/>
    </row>
    <row r="140" spans="3:11" x14ac:dyDescent="0.25">
      <c r="C140" s="32"/>
      <c r="D140" s="32"/>
      <c r="E140" s="32"/>
      <c r="F140" s="32"/>
      <c r="G140" s="32"/>
      <c r="H140" s="32"/>
      <c r="I140" s="32"/>
      <c r="J140" s="32"/>
      <c r="K140" s="32"/>
    </row>
    <row r="141" spans="3:11" x14ac:dyDescent="0.25">
      <c r="C141" s="32"/>
      <c r="D141" s="32"/>
      <c r="E141" s="32"/>
      <c r="F141" s="32"/>
      <c r="G141" s="32"/>
      <c r="H141" s="32"/>
      <c r="I141" s="32"/>
      <c r="J141" s="32"/>
      <c r="K141" s="32"/>
    </row>
    <row r="142" spans="3:11" x14ac:dyDescent="0.25">
      <c r="C142" s="32"/>
      <c r="D142" s="32"/>
      <c r="E142" s="32"/>
      <c r="F142" s="32"/>
      <c r="G142" s="32"/>
      <c r="H142" s="32"/>
      <c r="I142" s="32"/>
      <c r="J142" s="32"/>
      <c r="K142" s="32"/>
    </row>
    <row r="143" spans="3:11" x14ac:dyDescent="0.25">
      <c r="C143" s="32"/>
      <c r="D143" s="32"/>
      <c r="E143" s="32"/>
      <c r="F143" s="32"/>
      <c r="G143" s="32"/>
      <c r="H143" s="32"/>
      <c r="I143" s="32"/>
      <c r="J143" s="32"/>
      <c r="K143" s="32"/>
    </row>
    <row r="144" spans="3:11" x14ac:dyDescent="0.25">
      <c r="C144" s="32"/>
      <c r="D144" s="32"/>
      <c r="E144" s="32"/>
      <c r="F144" s="32"/>
      <c r="G144" s="32"/>
      <c r="H144" s="32"/>
      <c r="I144" s="32"/>
      <c r="J144" s="32"/>
      <c r="K144" s="32"/>
    </row>
    <row r="145" spans="3:11" x14ac:dyDescent="0.25">
      <c r="C145" s="32"/>
      <c r="D145" s="32"/>
      <c r="E145" s="32"/>
      <c r="F145" s="32"/>
      <c r="G145" s="32"/>
      <c r="H145" s="32"/>
      <c r="I145" s="32"/>
      <c r="J145" s="32"/>
      <c r="K145" s="32"/>
    </row>
    <row r="146" spans="3:11" x14ac:dyDescent="0.25">
      <c r="C146" s="32"/>
      <c r="D146" s="32"/>
      <c r="E146" s="32"/>
      <c r="F146" s="32"/>
      <c r="G146" s="32"/>
      <c r="H146" s="32"/>
      <c r="I146" s="32"/>
      <c r="J146" s="32"/>
      <c r="K146" s="32"/>
    </row>
    <row r="147" spans="3:11" x14ac:dyDescent="0.25">
      <c r="C147" s="32"/>
      <c r="D147" s="32"/>
      <c r="E147" s="32"/>
      <c r="F147" s="32"/>
      <c r="G147" s="32"/>
      <c r="H147" s="32"/>
      <c r="I147" s="32"/>
      <c r="J147" s="32"/>
      <c r="K147" s="32"/>
    </row>
    <row r="148" spans="3:11" x14ac:dyDescent="0.25">
      <c r="C148" s="32"/>
      <c r="D148" s="32"/>
      <c r="E148" s="32"/>
      <c r="F148" s="32"/>
      <c r="G148" s="32"/>
      <c r="H148" s="32"/>
      <c r="I148" s="32"/>
      <c r="J148" s="32"/>
      <c r="K148" s="32"/>
    </row>
    <row r="149" spans="3:11" x14ac:dyDescent="0.25">
      <c r="C149" s="32"/>
      <c r="D149" s="32"/>
      <c r="E149" s="32"/>
      <c r="F149" s="32"/>
      <c r="G149" s="32"/>
      <c r="H149" s="32"/>
      <c r="I149" s="32"/>
      <c r="J149" s="32"/>
      <c r="K149" s="32"/>
    </row>
    <row r="150" spans="3:11" x14ac:dyDescent="0.25">
      <c r="C150" s="32"/>
      <c r="D150" s="32"/>
      <c r="E150" s="32"/>
      <c r="F150" s="32"/>
      <c r="G150" s="32"/>
      <c r="H150" s="32"/>
      <c r="I150" s="32"/>
      <c r="J150" s="32"/>
      <c r="K150" s="32"/>
    </row>
  </sheetData>
  <mergeCells count="40">
    <mergeCell ref="L31:L33"/>
    <mergeCell ref="M31:M33"/>
    <mergeCell ref="E61:H61"/>
    <mergeCell ref="C73:K73"/>
    <mergeCell ref="L22:L24"/>
    <mergeCell ref="M22:M24"/>
    <mergeCell ref="L25:L27"/>
    <mergeCell ref="M25:M27"/>
    <mergeCell ref="L28:L30"/>
    <mergeCell ref="M28:M30"/>
    <mergeCell ref="E53:F53"/>
    <mergeCell ref="E54:F54"/>
    <mergeCell ref="L13:L15"/>
    <mergeCell ref="M13:M15"/>
    <mergeCell ref="L16:L18"/>
    <mergeCell ref="M16:M18"/>
    <mergeCell ref="L19:L21"/>
    <mergeCell ref="M19:M21"/>
    <mergeCell ref="T5:T6"/>
    <mergeCell ref="U5:U6"/>
    <mergeCell ref="L7:L9"/>
    <mergeCell ref="M7:M9"/>
    <mergeCell ref="L10:L12"/>
    <mergeCell ref="M10:M12"/>
    <mergeCell ref="C1:J1"/>
    <mergeCell ref="G15:I15"/>
    <mergeCell ref="C21:K21"/>
    <mergeCell ref="C29:G29"/>
    <mergeCell ref="L1:U1"/>
    <mergeCell ref="P2:Q2"/>
    <mergeCell ref="L3:M3"/>
    <mergeCell ref="N3:N6"/>
    <mergeCell ref="O3:U4"/>
    <mergeCell ref="L4:L6"/>
    <mergeCell ref="M4:M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9" orientation="portrait" horizontalDpi="30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Parámetros!$O$4:$O$6</xm:f>
          </x14:formula1>
          <xm:sqref>D3</xm:sqref>
        </x14:dataValidation>
        <x14:dataValidation type="list" allowBlank="1" showInputMessage="1" showErrorMessage="1" xr:uid="{00000000-0002-0000-0100-000001000000}">
          <x14:formula1>
            <xm:f>Parámetros!$K$98:$K$106</xm:f>
          </x14:formula1>
          <xm:sqref>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4"/>
  <sheetViews>
    <sheetView workbookViewId="0">
      <selection activeCell="E15" sqref="E15"/>
    </sheetView>
  </sheetViews>
  <sheetFormatPr baseColWidth="10" defaultRowHeight="15" x14ac:dyDescent="0.25"/>
  <cols>
    <col min="1" max="1" width="16.42578125" style="32" bestFit="1" customWidth="1"/>
    <col min="2" max="2" width="9.140625" style="32" bestFit="1" customWidth="1"/>
    <col min="3" max="3" width="7.42578125" style="32" bestFit="1" customWidth="1"/>
    <col min="4" max="7" width="11.42578125" style="32"/>
    <col min="8" max="8" width="13.42578125" style="32" bestFit="1" customWidth="1"/>
    <col min="9" max="10" width="11.42578125" style="32"/>
    <col min="11" max="11" width="12.7109375" style="32" bestFit="1" customWidth="1"/>
    <col min="12" max="16384" width="11.42578125" style="32"/>
  </cols>
  <sheetData>
    <row r="1" spans="1:13" ht="22.5" x14ac:dyDescent="0.3">
      <c r="A1" s="134" t="s">
        <v>280</v>
      </c>
      <c r="B1" s="134"/>
      <c r="C1" s="134"/>
      <c r="D1" s="134"/>
      <c r="E1" s="134"/>
      <c r="F1" s="134"/>
      <c r="G1" s="134"/>
      <c r="H1" s="134"/>
      <c r="I1" s="67"/>
      <c r="J1" s="67"/>
      <c r="K1" s="67"/>
      <c r="L1" s="67"/>
      <c r="M1" s="67"/>
    </row>
    <row r="2" spans="1:13" s="63" customFormat="1" ht="12.75" x14ac:dyDescent="0.2"/>
    <row r="3" spans="1:13" s="63" customFormat="1" ht="12.75" x14ac:dyDescent="0.2">
      <c r="A3" s="73" t="s">
        <v>174</v>
      </c>
      <c r="B3" s="71" t="s">
        <v>15</v>
      </c>
    </row>
    <row r="4" spans="1:13" s="63" customFormat="1" ht="12.75" x14ac:dyDescent="0.2">
      <c r="A4" s="74" t="s">
        <v>106</v>
      </c>
      <c r="B4" s="65">
        <f>VLOOKUP(B3,Parámetros!O6:V8,2,FALSE)</f>
        <v>55000</v>
      </c>
      <c r="C4" s="63" t="s">
        <v>113</v>
      </c>
    </row>
    <row r="5" spans="1:13" s="63" customFormat="1" ht="12.75" x14ac:dyDescent="0.2">
      <c r="A5" s="74" t="s">
        <v>109</v>
      </c>
      <c r="B5" s="65">
        <f>VLOOKUP(B3,Parámetros!O6:V8,5,FALSE)</f>
        <v>80</v>
      </c>
      <c r="C5" s="63" t="s">
        <v>113</v>
      </c>
    </row>
    <row r="6" spans="1:13" s="63" customFormat="1" ht="12.75" x14ac:dyDescent="0.2">
      <c r="A6" s="73"/>
    </row>
    <row r="7" spans="1:13" s="63" customFormat="1" ht="12.75" x14ac:dyDescent="0.2">
      <c r="A7" s="74" t="s">
        <v>291</v>
      </c>
      <c r="B7" s="72">
        <v>2.4</v>
      </c>
      <c r="C7" s="63" t="s">
        <v>116</v>
      </c>
    </row>
    <row r="8" spans="1:13" s="63" customFormat="1" ht="12.75" x14ac:dyDescent="0.2">
      <c r="A8" s="74" t="s">
        <v>292</v>
      </c>
      <c r="B8" s="72">
        <v>3000</v>
      </c>
      <c r="C8" s="63" t="s">
        <v>101</v>
      </c>
    </row>
    <row r="9" spans="1:13" s="63" customFormat="1" ht="12.75" x14ac:dyDescent="0.2">
      <c r="A9" s="73"/>
    </row>
    <row r="10" spans="1:13" s="63" customFormat="1" ht="12.75" x14ac:dyDescent="0.2">
      <c r="A10" s="74" t="s">
        <v>2</v>
      </c>
      <c r="B10" s="71" t="s">
        <v>69</v>
      </c>
      <c r="C10" s="63" t="s">
        <v>121</v>
      </c>
    </row>
    <row r="11" spans="1:13" s="63" customFormat="1" ht="12.75" x14ac:dyDescent="0.2">
      <c r="B11" s="65" t="str">
        <f>VLOOKUP(B10,Parámetros!A7:K70,2,FALSE)</f>
        <v>4" x 6"</v>
      </c>
    </row>
    <row r="12" spans="1:13" s="63" customFormat="1" ht="12.75" x14ac:dyDescent="0.2">
      <c r="A12" s="64" t="s">
        <v>295</v>
      </c>
      <c r="B12" s="65">
        <f>VLOOKUP(B10,Parámetros!A7:K70,3,FALSE)</f>
        <v>126</v>
      </c>
      <c r="C12" s="63" t="s">
        <v>96</v>
      </c>
    </row>
    <row r="13" spans="1:13" s="63" customFormat="1" ht="12.75" x14ac:dyDescent="0.2">
      <c r="A13" s="64"/>
      <c r="B13" s="65"/>
    </row>
    <row r="14" spans="1:13" s="63" customFormat="1" ht="12.75" x14ac:dyDescent="0.2">
      <c r="A14" s="64"/>
    </row>
    <row r="15" spans="1:13" s="63" customFormat="1" ht="12.75" x14ac:dyDescent="0.2"/>
    <row r="16" spans="1:13" s="63" customFormat="1" ht="26.25" customHeight="1" x14ac:dyDescent="0.2">
      <c r="A16" s="132" t="s">
        <v>290</v>
      </c>
      <c r="B16" s="132"/>
      <c r="C16" s="131" t="s">
        <v>285</v>
      </c>
      <c r="D16" s="131"/>
      <c r="E16" s="131"/>
      <c r="F16" s="131"/>
      <c r="G16" s="131"/>
      <c r="H16" s="69">
        <f>VLOOKUP(C16,Parámetros!AA4:AB9,2,FALSE)</f>
        <v>1.5</v>
      </c>
    </row>
    <row r="17" spans="1:8" s="63" customFormat="1" ht="12.75" x14ac:dyDescent="0.2"/>
    <row r="18" spans="1:8" s="63" customFormat="1" ht="12.75" x14ac:dyDescent="0.2">
      <c r="A18" s="64" t="s">
        <v>294</v>
      </c>
      <c r="B18" s="68">
        <f>PRODUCT(B7,H16)</f>
        <v>3.5999999999999996</v>
      </c>
      <c r="C18" s="63" t="s">
        <v>116</v>
      </c>
      <c r="D18" s="64" t="s">
        <v>293</v>
      </c>
      <c r="E18" s="65">
        <f>ROUND(B18*100/VLOOKUP(B10,Parámetros!A7:M70,12,FALSE),2)</f>
        <v>25.71</v>
      </c>
      <c r="F18" s="65" t="str">
        <f>IF(E18&lt;10,"Columna Corta"," ")</f>
        <v xml:space="preserve"> </v>
      </c>
      <c r="G18" s="65" t="str">
        <f>IF(AND(10&lt;=E18,E18&lt;E19)=TRUE," Columna Intermedia"," ")</f>
        <v xml:space="preserve"> </v>
      </c>
      <c r="H18" s="65" t="str">
        <f>IF(AND(E19&lt;=E18,E18&lt;50)=TRUE,"Columna Larga"," ")</f>
        <v>Columna Larga</v>
      </c>
    </row>
    <row r="19" spans="1:8" s="63" customFormat="1" ht="12.75" x14ac:dyDescent="0.2">
      <c r="B19" s="70" t="str">
        <f>IF(E18&lt;10,B12*B5," ")</f>
        <v xml:space="preserve"> </v>
      </c>
      <c r="D19" s="64" t="s">
        <v>296</v>
      </c>
      <c r="E19" s="65">
        <f>ROUND(0.7025*SQRT(B4/B5),2)</f>
        <v>18.420000000000002</v>
      </c>
    </row>
    <row r="20" spans="1:8" s="63" customFormat="1" ht="12.75" x14ac:dyDescent="0.2">
      <c r="B20" s="70" t="str">
        <f>IF(AND(10&lt;=E18&lt;E19)=TRUE,B5*B12*(1-(1/3)*(E18/E19)^4)," ")</f>
        <v xml:space="preserve"> </v>
      </c>
      <c r="D20" s="64" t="s">
        <v>297</v>
      </c>
      <c r="E20" s="65">
        <f>ROUND(MAX(B19:B21),2)</f>
        <v>3449.25</v>
      </c>
      <c r="F20" s="63" t="s">
        <v>101</v>
      </c>
    </row>
    <row r="21" spans="1:8" s="63" customFormat="1" ht="12.75" x14ac:dyDescent="0.2">
      <c r="B21" s="70">
        <f>IF(AND(E19&lt;=E18,E18&lt;50)=TRUE,0.329*B4*B12/E18^2," ")</f>
        <v>3449.2524327761357</v>
      </c>
      <c r="D21" s="133" t="str">
        <f>IF(E20&gt;=B8,CONCATENATE("Nadm = ",E20," Kg &gt; P = ",B8," Kg"),CONCATENATE("Nadm = ",E20," Kg &lt; P = ",B8," Kg"))</f>
        <v>Nadm = 3449.25 Kg &gt; P = 3000 Kg</v>
      </c>
      <c r="E21" s="133"/>
      <c r="F21" s="133"/>
    </row>
    <row r="22" spans="1:8" s="63" customFormat="1" ht="15" customHeight="1" x14ac:dyDescent="0.2">
      <c r="D22" s="133" t="str">
        <f>IF(E20&gt;=B8,"OK","Cambiar Sección")</f>
        <v>OK</v>
      </c>
      <c r="E22" s="133"/>
      <c r="F22" s="133"/>
    </row>
    <row r="23" spans="1:8" s="63" customFormat="1" ht="12.75" x14ac:dyDescent="0.2"/>
    <row r="24" spans="1:8" s="63" customFormat="1" ht="12.75" x14ac:dyDescent="0.2"/>
    <row r="25" spans="1:8" s="63" customFormat="1" ht="12.75" x14ac:dyDescent="0.2"/>
    <row r="26" spans="1:8" s="63" customFormat="1" ht="12.75" x14ac:dyDescent="0.2"/>
    <row r="27" spans="1:8" s="63" customFormat="1" ht="12.75" x14ac:dyDescent="0.2"/>
    <row r="28" spans="1:8" s="63" customFormat="1" ht="12.75" x14ac:dyDescent="0.2"/>
    <row r="29" spans="1:8" s="63" customFormat="1" ht="12.75" x14ac:dyDescent="0.2"/>
    <row r="30" spans="1:8" s="63" customFormat="1" ht="12.75" x14ac:dyDescent="0.2"/>
    <row r="31" spans="1:8" s="63" customFormat="1" ht="12.75" x14ac:dyDescent="0.2"/>
    <row r="32" spans="1:8" s="63" customFormat="1" ht="12.75" x14ac:dyDescent="0.2"/>
    <row r="33" s="63" customFormat="1" ht="12.75" x14ac:dyDescent="0.2"/>
    <row r="34" s="63" customFormat="1" ht="12.75" x14ac:dyDescent="0.2"/>
    <row r="35" s="63" customFormat="1" ht="12.75" x14ac:dyDescent="0.2"/>
    <row r="36" s="63" customFormat="1" ht="12.75" x14ac:dyDescent="0.2"/>
    <row r="37" s="63" customFormat="1" ht="12.75" x14ac:dyDescent="0.2"/>
    <row r="38" s="63" customFormat="1" ht="12.75" x14ac:dyDescent="0.2"/>
    <row r="39" s="63" customFormat="1" ht="12.75" x14ac:dyDescent="0.2"/>
    <row r="40" s="63" customFormat="1" ht="12.75" x14ac:dyDescent="0.2"/>
    <row r="41" s="63" customFormat="1" ht="12.75" x14ac:dyDescent="0.2"/>
    <row r="42" s="63" customFormat="1" ht="12.75" x14ac:dyDescent="0.2"/>
    <row r="43" s="63" customFormat="1" ht="12.75" x14ac:dyDescent="0.2"/>
    <row r="44" s="63" customFormat="1" ht="12.75" x14ac:dyDescent="0.2"/>
    <row r="45" s="63" customFormat="1" ht="12.75" x14ac:dyDescent="0.2"/>
    <row r="46" s="63" customFormat="1" ht="12.75" x14ac:dyDescent="0.2"/>
    <row r="47" s="63" customFormat="1" ht="12.75" x14ac:dyDescent="0.2"/>
    <row r="48" s="63" customFormat="1" ht="12.75" x14ac:dyDescent="0.2"/>
    <row r="49" s="63" customFormat="1" ht="12.75" x14ac:dyDescent="0.2"/>
    <row r="50" s="63" customFormat="1" ht="12.75" x14ac:dyDescent="0.2"/>
    <row r="51" s="63" customFormat="1" ht="12.75" x14ac:dyDescent="0.2"/>
    <row r="52" s="63" customFormat="1" ht="12.75" x14ac:dyDescent="0.2"/>
    <row r="53" s="63" customFormat="1" ht="12.75" x14ac:dyDescent="0.2"/>
    <row r="54" s="63" customFormat="1" ht="12.75" x14ac:dyDescent="0.2"/>
    <row r="55" s="63" customFormat="1" ht="12.75" x14ac:dyDescent="0.2"/>
    <row r="56" s="63" customFormat="1" ht="12.75" x14ac:dyDescent="0.2"/>
    <row r="57" s="63" customFormat="1" ht="12.75" x14ac:dyDescent="0.2"/>
    <row r="58" s="63" customFormat="1" ht="12.75" x14ac:dyDescent="0.2"/>
    <row r="59" s="63" customFormat="1" ht="12.75" x14ac:dyDescent="0.2"/>
    <row r="60" s="63" customFormat="1" ht="12.75" x14ac:dyDescent="0.2"/>
    <row r="61" s="63" customFormat="1" ht="12.75" x14ac:dyDescent="0.2"/>
    <row r="62" s="63" customFormat="1" ht="12.75" x14ac:dyDescent="0.2"/>
    <row r="63" s="63" customFormat="1" ht="12.75" x14ac:dyDescent="0.2"/>
    <row r="64" s="63" customFormat="1" ht="12.75" x14ac:dyDescent="0.2"/>
    <row r="65" s="63" customFormat="1" ht="12.75" x14ac:dyDescent="0.2"/>
    <row r="66" s="63" customFormat="1" ht="12.75" x14ac:dyDescent="0.2"/>
    <row r="67" s="63" customFormat="1" ht="12.75" x14ac:dyDescent="0.2"/>
    <row r="68" s="63" customFormat="1" ht="12.75" x14ac:dyDescent="0.2"/>
    <row r="69" s="63" customFormat="1" ht="12.75" x14ac:dyDescent="0.2"/>
    <row r="70" s="63" customFormat="1" ht="12.75" x14ac:dyDescent="0.2"/>
    <row r="71" s="63" customFormat="1" ht="12.75" x14ac:dyDescent="0.2"/>
    <row r="72" s="63" customFormat="1" ht="12.75" x14ac:dyDescent="0.2"/>
    <row r="73" s="63" customFormat="1" ht="12.75" x14ac:dyDescent="0.2"/>
    <row r="74" s="63" customFormat="1" ht="12.75" x14ac:dyDescent="0.2"/>
    <row r="75" s="63" customFormat="1" ht="12.75" x14ac:dyDescent="0.2"/>
    <row r="76" s="63" customFormat="1" ht="12.75" x14ac:dyDescent="0.2"/>
    <row r="77" s="63" customFormat="1" ht="12.75" x14ac:dyDescent="0.2"/>
    <row r="78" s="63" customFormat="1" ht="12.75" x14ac:dyDescent="0.2"/>
    <row r="79" s="63" customFormat="1" ht="12.75" x14ac:dyDescent="0.2"/>
    <row r="80" s="63" customFormat="1" ht="12.75" x14ac:dyDescent="0.2"/>
    <row r="81" s="63" customFormat="1" ht="12.75" x14ac:dyDescent="0.2"/>
    <row r="82" s="63" customFormat="1" ht="12.75" x14ac:dyDescent="0.2"/>
    <row r="83" s="63" customFormat="1" ht="12.75" x14ac:dyDescent="0.2"/>
    <row r="84" s="63" customFormat="1" ht="12.75" x14ac:dyDescent="0.2"/>
    <row r="85" s="63" customFormat="1" ht="12.75" x14ac:dyDescent="0.2"/>
    <row r="86" s="63" customFormat="1" ht="12.75" x14ac:dyDescent="0.2"/>
    <row r="87" s="63" customFormat="1" ht="12.75" x14ac:dyDescent="0.2"/>
    <row r="88" s="63" customFormat="1" ht="12.75" x14ac:dyDescent="0.2"/>
    <row r="89" s="63" customFormat="1" ht="12.75" x14ac:dyDescent="0.2"/>
    <row r="90" s="63" customFormat="1" ht="12.75" x14ac:dyDescent="0.2"/>
    <row r="91" s="63" customFormat="1" ht="12.75" x14ac:dyDescent="0.2"/>
    <row r="92" s="63" customFormat="1" ht="12.75" x14ac:dyDescent="0.2"/>
    <row r="93" s="63" customFormat="1" ht="12.75" x14ac:dyDescent="0.2"/>
    <row r="94" s="63" customFormat="1" ht="12.75" x14ac:dyDescent="0.2"/>
    <row r="95" s="63" customFormat="1" ht="12.75" x14ac:dyDescent="0.2"/>
    <row r="96" s="63" customFormat="1" ht="12.75" x14ac:dyDescent="0.2"/>
    <row r="97" s="63" customFormat="1" ht="12.75" x14ac:dyDescent="0.2"/>
    <row r="98" s="63" customFormat="1" ht="12.75" x14ac:dyDescent="0.2"/>
    <row r="99" s="63" customFormat="1" ht="12.75" x14ac:dyDescent="0.2"/>
    <row r="100" s="63" customFormat="1" ht="12.75" x14ac:dyDescent="0.2"/>
    <row r="101" s="63" customFormat="1" ht="12.75" x14ac:dyDescent="0.2"/>
    <row r="102" s="63" customFormat="1" ht="12.75" x14ac:dyDescent="0.2"/>
    <row r="103" s="63" customFormat="1" ht="12.75" x14ac:dyDescent="0.2"/>
    <row r="104" s="63" customFormat="1" ht="12.75" x14ac:dyDescent="0.2"/>
    <row r="105" s="63" customFormat="1" ht="12.75" x14ac:dyDescent="0.2"/>
    <row r="106" s="63" customFormat="1" ht="12.75" x14ac:dyDescent="0.2"/>
    <row r="107" s="63" customFormat="1" ht="12.75" x14ac:dyDescent="0.2"/>
    <row r="108" s="63" customFormat="1" ht="12.75" x14ac:dyDescent="0.2"/>
    <row r="109" s="63" customFormat="1" ht="12.75" x14ac:dyDescent="0.2"/>
    <row r="110" s="63" customFormat="1" ht="12.75" x14ac:dyDescent="0.2"/>
    <row r="111" s="63" customFormat="1" ht="12.75" x14ac:dyDescent="0.2"/>
    <row r="112" s="63" customFormat="1" ht="12.75" x14ac:dyDescent="0.2"/>
    <row r="113" s="63" customFormat="1" ht="12.75" x14ac:dyDescent="0.2"/>
    <row r="114" s="63" customFormat="1" ht="12.75" x14ac:dyDescent="0.2"/>
    <row r="115" s="63" customFormat="1" ht="12.75" x14ac:dyDescent="0.2"/>
    <row r="116" s="63" customFormat="1" ht="12.75" x14ac:dyDescent="0.2"/>
    <row r="117" s="63" customFormat="1" ht="12.75" x14ac:dyDescent="0.2"/>
    <row r="118" s="63" customFormat="1" ht="12.75" x14ac:dyDescent="0.2"/>
    <row r="119" s="63" customFormat="1" ht="12.75" x14ac:dyDescent="0.2"/>
    <row r="120" s="63" customFormat="1" ht="12.75" x14ac:dyDescent="0.2"/>
    <row r="121" s="63" customFormat="1" ht="12.75" x14ac:dyDescent="0.2"/>
    <row r="122" s="63" customFormat="1" ht="12.75" x14ac:dyDescent="0.2"/>
    <row r="123" s="63" customFormat="1" ht="12.75" x14ac:dyDescent="0.2"/>
    <row r="124" s="63" customFormat="1" ht="12.75" x14ac:dyDescent="0.2"/>
    <row r="125" s="63" customFormat="1" ht="12.75" x14ac:dyDescent="0.2"/>
    <row r="126" s="63" customFormat="1" ht="12.75" x14ac:dyDescent="0.2"/>
    <row r="127" s="63" customFormat="1" ht="12.75" x14ac:dyDescent="0.2"/>
    <row r="128" s="63" customFormat="1" ht="12.75" x14ac:dyDescent="0.2"/>
    <row r="129" s="63" customFormat="1" ht="12.75" x14ac:dyDescent="0.2"/>
    <row r="130" s="63" customFormat="1" ht="12.75" x14ac:dyDescent="0.2"/>
    <row r="131" s="63" customFormat="1" ht="12.75" x14ac:dyDescent="0.2"/>
    <row r="132" s="63" customFormat="1" ht="12.75" x14ac:dyDescent="0.2"/>
    <row r="133" s="63" customFormat="1" ht="12.75" x14ac:dyDescent="0.2"/>
    <row r="134" s="63" customFormat="1" ht="12.75" x14ac:dyDescent="0.2"/>
    <row r="135" s="63" customFormat="1" ht="12.75" x14ac:dyDescent="0.2"/>
    <row r="136" s="63" customFormat="1" ht="12.75" x14ac:dyDescent="0.2"/>
    <row r="137" s="63" customFormat="1" ht="12.75" x14ac:dyDescent="0.2"/>
    <row r="138" s="63" customFormat="1" ht="12.75" x14ac:dyDescent="0.2"/>
    <row r="139" s="63" customFormat="1" ht="12.75" x14ac:dyDescent="0.2"/>
    <row r="140" s="63" customFormat="1" ht="12.75" x14ac:dyDescent="0.2"/>
    <row r="141" s="63" customFormat="1" ht="12.75" x14ac:dyDescent="0.2"/>
    <row r="142" s="63" customFormat="1" ht="12.75" x14ac:dyDescent="0.2"/>
    <row r="143" s="63" customFormat="1" ht="12.75" x14ac:dyDescent="0.2"/>
    <row r="144" s="63" customFormat="1" ht="12.75" x14ac:dyDescent="0.2"/>
    <row r="145" s="63" customFormat="1" ht="12.75" x14ac:dyDescent="0.2"/>
    <row r="146" s="63" customFormat="1" ht="12.75" x14ac:dyDescent="0.2"/>
    <row r="147" s="63" customFormat="1" ht="12.75" x14ac:dyDescent="0.2"/>
    <row r="148" s="63" customFormat="1" ht="12.75" x14ac:dyDescent="0.2"/>
    <row r="149" s="63" customFormat="1" ht="12.75" x14ac:dyDescent="0.2"/>
    <row r="150" s="63" customFormat="1" ht="12.75" x14ac:dyDescent="0.2"/>
    <row r="151" s="63" customFormat="1" ht="12.75" x14ac:dyDescent="0.2"/>
    <row r="152" s="63" customFormat="1" ht="12.75" x14ac:dyDescent="0.2"/>
    <row r="153" s="63" customFormat="1" ht="12.75" x14ac:dyDescent="0.2"/>
    <row r="154" s="63" customFormat="1" ht="12.75" x14ac:dyDescent="0.2"/>
    <row r="155" s="63" customFormat="1" ht="12.75" x14ac:dyDescent="0.2"/>
    <row r="156" s="63" customFormat="1" ht="12.75" x14ac:dyDescent="0.2"/>
    <row r="157" s="63" customFormat="1" ht="12.75" x14ac:dyDescent="0.2"/>
    <row r="158" s="63" customFormat="1" ht="12.75" x14ac:dyDescent="0.2"/>
    <row r="159" s="63" customFormat="1" ht="12.75" x14ac:dyDescent="0.2"/>
    <row r="160" s="63" customFormat="1" ht="12.75" x14ac:dyDescent="0.2"/>
    <row r="161" s="63" customFormat="1" ht="12.75" x14ac:dyDescent="0.2"/>
    <row r="162" s="63" customFormat="1" ht="12.75" x14ac:dyDescent="0.2"/>
    <row r="163" s="63" customFormat="1" ht="12.75" x14ac:dyDescent="0.2"/>
    <row r="164" s="63" customFormat="1" ht="12.75" x14ac:dyDescent="0.2"/>
    <row r="165" s="63" customFormat="1" ht="12.75" x14ac:dyDescent="0.2"/>
    <row r="166" s="63" customFormat="1" ht="12.75" x14ac:dyDescent="0.2"/>
    <row r="167" s="63" customFormat="1" ht="12.75" x14ac:dyDescent="0.2"/>
    <row r="168" s="63" customFormat="1" ht="12.75" x14ac:dyDescent="0.2"/>
    <row r="169" s="63" customFormat="1" ht="12.75" x14ac:dyDescent="0.2"/>
    <row r="170" s="63" customFormat="1" ht="12.75" x14ac:dyDescent="0.2"/>
    <row r="171" s="63" customFormat="1" ht="12.75" x14ac:dyDescent="0.2"/>
    <row r="172" s="63" customFormat="1" ht="12.75" x14ac:dyDescent="0.2"/>
    <row r="173" s="63" customFormat="1" ht="12.75" x14ac:dyDescent="0.2"/>
    <row r="174" s="63" customFormat="1" ht="12.75" x14ac:dyDescent="0.2"/>
    <row r="175" s="63" customFormat="1" ht="12.75" x14ac:dyDescent="0.2"/>
    <row r="176" s="63" customFormat="1" ht="12.75" x14ac:dyDescent="0.2"/>
    <row r="177" s="63" customFormat="1" ht="12.75" x14ac:dyDescent="0.2"/>
    <row r="178" s="63" customFormat="1" ht="12.75" x14ac:dyDescent="0.2"/>
    <row r="179" s="63" customFormat="1" ht="12.75" x14ac:dyDescent="0.2"/>
    <row r="180" s="63" customFormat="1" ht="12.75" x14ac:dyDescent="0.2"/>
    <row r="181" s="63" customFormat="1" ht="12.75" x14ac:dyDescent="0.2"/>
    <row r="182" s="63" customFormat="1" ht="12.75" x14ac:dyDescent="0.2"/>
    <row r="183" s="63" customFormat="1" ht="12.75" x14ac:dyDescent="0.2"/>
    <row r="184" s="63" customFormat="1" ht="12.75" x14ac:dyDescent="0.2"/>
    <row r="185" s="63" customFormat="1" ht="12.75" x14ac:dyDescent="0.2"/>
    <row r="186" s="63" customFormat="1" ht="12.75" x14ac:dyDescent="0.2"/>
    <row r="187" s="63" customFormat="1" ht="12.75" x14ac:dyDescent="0.2"/>
    <row r="188" s="63" customFormat="1" ht="12.75" x14ac:dyDescent="0.2"/>
    <row r="189" s="63" customFormat="1" ht="12.75" x14ac:dyDescent="0.2"/>
    <row r="190" s="63" customFormat="1" ht="12.75" x14ac:dyDescent="0.2"/>
    <row r="191" s="63" customFormat="1" ht="12.75" x14ac:dyDescent="0.2"/>
    <row r="192" s="63" customFormat="1" ht="12.75" x14ac:dyDescent="0.2"/>
    <row r="193" s="63" customFormat="1" ht="12.75" x14ac:dyDescent="0.2"/>
    <row r="194" s="63" customFormat="1" ht="12.75" x14ac:dyDescent="0.2"/>
    <row r="195" s="63" customFormat="1" ht="12.75" x14ac:dyDescent="0.2"/>
    <row r="196" s="63" customFormat="1" ht="12.75" x14ac:dyDescent="0.2"/>
    <row r="197" s="63" customFormat="1" ht="12.75" x14ac:dyDescent="0.2"/>
    <row r="198" s="63" customFormat="1" ht="12.75" x14ac:dyDescent="0.2"/>
    <row r="199" s="63" customFormat="1" ht="12.75" x14ac:dyDescent="0.2"/>
    <row r="200" s="63" customFormat="1" ht="12.75" x14ac:dyDescent="0.2"/>
    <row r="201" s="63" customFormat="1" ht="12.75" x14ac:dyDescent="0.2"/>
    <row r="202" s="63" customFormat="1" ht="12.75" x14ac:dyDescent="0.2"/>
    <row r="203" s="63" customFormat="1" ht="12.75" x14ac:dyDescent="0.2"/>
    <row r="204" s="63" customFormat="1" ht="12.75" x14ac:dyDescent="0.2"/>
    <row r="205" s="63" customFormat="1" ht="12.75" x14ac:dyDescent="0.2"/>
    <row r="206" s="63" customFormat="1" ht="12.75" x14ac:dyDescent="0.2"/>
    <row r="207" s="63" customFormat="1" ht="12.75" x14ac:dyDescent="0.2"/>
    <row r="208" s="63" customFormat="1" ht="12.75" x14ac:dyDescent="0.2"/>
    <row r="209" s="63" customFormat="1" ht="12.75" x14ac:dyDescent="0.2"/>
    <row r="210" s="63" customFormat="1" ht="12.75" x14ac:dyDescent="0.2"/>
    <row r="211" s="63" customFormat="1" ht="12.75" x14ac:dyDescent="0.2"/>
    <row r="212" s="63" customFormat="1" ht="12.75" x14ac:dyDescent="0.2"/>
    <row r="213" s="63" customFormat="1" ht="12.75" x14ac:dyDescent="0.2"/>
    <row r="214" s="63" customFormat="1" ht="12.75" x14ac:dyDescent="0.2"/>
    <row r="215" s="63" customFormat="1" ht="12.75" x14ac:dyDescent="0.2"/>
    <row r="216" s="63" customFormat="1" ht="12.75" x14ac:dyDescent="0.2"/>
    <row r="217" s="63" customFormat="1" ht="12.75" x14ac:dyDescent="0.2"/>
    <row r="218" s="63" customFormat="1" ht="12.75" x14ac:dyDescent="0.2"/>
    <row r="219" s="63" customFormat="1" ht="12.75" x14ac:dyDescent="0.2"/>
    <row r="220" s="63" customFormat="1" ht="12.75" x14ac:dyDescent="0.2"/>
    <row r="221" s="63" customFormat="1" ht="12.75" x14ac:dyDescent="0.2"/>
    <row r="222" s="63" customFormat="1" ht="12.75" x14ac:dyDescent="0.2"/>
    <row r="223" s="63" customFormat="1" ht="12.75" x14ac:dyDescent="0.2"/>
    <row r="224" s="63" customFormat="1" ht="12.75" x14ac:dyDescent="0.2"/>
    <row r="225" s="63" customFormat="1" ht="12.75" x14ac:dyDescent="0.2"/>
    <row r="226" s="63" customFormat="1" ht="12.75" x14ac:dyDescent="0.2"/>
    <row r="227" s="63" customFormat="1" ht="12.75" x14ac:dyDescent="0.2"/>
    <row r="228" s="63" customFormat="1" ht="12.75" x14ac:dyDescent="0.2"/>
    <row r="229" s="63" customFormat="1" ht="12.75" x14ac:dyDescent="0.2"/>
    <row r="230" s="63" customFormat="1" ht="12.75" x14ac:dyDescent="0.2"/>
    <row r="231" s="63" customFormat="1" ht="12.75" x14ac:dyDescent="0.2"/>
    <row r="232" s="63" customFormat="1" ht="12.75" x14ac:dyDescent="0.2"/>
    <row r="233" s="63" customFormat="1" ht="12.75" x14ac:dyDescent="0.2"/>
    <row r="234" s="63" customFormat="1" ht="12.75" x14ac:dyDescent="0.2"/>
    <row r="235" s="63" customFormat="1" ht="12.75" x14ac:dyDescent="0.2"/>
    <row r="236" s="63" customFormat="1" ht="12.75" x14ac:dyDescent="0.2"/>
    <row r="237" s="63" customFormat="1" ht="12.75" x14ac:dyDescent="0.2"/>
    <row r="238" s="63" customFormat="1" ht="12.75" x14ac:dyDescent="0.2"/>
    <row r="239" s="63" customFormat="1" ht="12.75" x14ac:dyDescent="0.2"/>
    <row r="240" s="63" customFormat="1" ht="12.75" x14ac:dyDescent="0.2"/>
    <row r="241" s="63" customFormat="1" ht="12.75" x14ac:dyDescent="0.2"/>
    <row r="242" s="63" customFormat="1" ht="12.75" x14ac:dyDescent="0.2"/>
    <row r="243" s="63" customFormat="1" ht="12.75" x14ac:dyDescent="0.2"/>
    <row r="244" s="63" customFormat="1" ht="12.75" x14ac:dyDescent="0.2"/>
    <row r="245" s="63" customFormat="1" ht="12.75" x14ac:dyDescent="0.2"/>
    <row r="246" s="63" customFormat="1" ht="12.75" x14ac:dyDescent="0.2"/>
    <row r="247" s="63" customFormat="1" ht="12.75" x14ac:dyDescent="0.2"/>
    <row r="248" s="63" customFormat="1" ht="12.75" x14ac:dyDescent="0.2"/>
    <row r="249" s="63" customFormat="1" ht="12.75" x14ac:dyDescent="0.2"/>
    <row r="250" s="63" customFormat="1" ht="12.75" x14ac:dyDescent="0.2"/>
    <row r="251" s="63" customFormat="1" ht="12.75" x14ac:dyDescent="0.2"/>
    <row r="252" s="63" customFormat="1" ht="12.75" x14ac:dyDescent="0.2"/>
    <row r="253" s="63" customFormat="1" ht="12.75" x14ac:dyDescent="0.2"/>
    <row r="254" s="63" customFormat="1" ht="12.75" x14ac:dyDescent="0.2"/>
  </sheetData>
  <mergeCells count="5">
    <mergeCell ref="C16:G16"/>
    <mergeCell ref="A16:B16"/>
    <mergeCell ref="D22:F22"/>
    <mergeCell ref="D21:F21"/>
    <mergeCell ref="A1:H1"/>
  </mergeCells>
  <pageMargins left="0.7" right="0.7" top="0.75" bottom="0.75" header="0.3" footer="0.3"/>
  <pageSetup orientation="portrait" horizontalDpi="30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Parámetros!$O$4:$O$6</xm:f>
          </x14:formula1>
          <xm:sqref>B3</xm:sqref>
        </x14:dataValidation>
        <x14:dataValidation type="list" allowBlank="1" showInputMessage="1" showErrorMessage="1" xr:uid="{00000000-0002-0000-0400-000001000000}">
          <x14:formula1>
            <xm:f>Parámetros!$A$7:$A$70</xm:f>
          </x14:formula1>
          <xm:sqref>B10</xm:sqref>
        </x14:dataValidation>
        <x14:dataValidation type="list" allowBlank="1" showInputMessage="1" showErrorMessage="1" xr:uid="{00000000-0002-0000-0400-000002000000}">
          <x14:formula1>
            <xm:f>Parámetros!$AA$4:$AA$9</xm:f>
          </x14:formula1>
          <xm:sqref>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A83"/>
  <sheetViews>
    <sheetView workbookViewId="0">
      <selection activeCell="L4" sqref="L4"/>
    </sheetView>
  </sheetViews>
  <sheetFormatPr baseColWidth="10" defaultRowHeight="12.75" x14ac:dyDescent="0.2"/>
  <cols>
    <col min="1" max="1" width="19.5703125" style="81" bestFit="1" customWidth="1"/>
    <col min="2" max="2" width="6.7109375" style="81" hidden="1" customWidth="1"/>
    <col min="3" max="3" width="11.85546875" style="81" hidden="1" customWidth="1"/>
    <col min="4" max="4" width="6.5703125" style="81" hidden="1" customWidth="1"/>
    <col min="5" max="13" width="10.7109375" style="81" customWidth="1"/>
    <col min="14" max="14" width="7.85546875" style="81" customWidth="1"/>
    <col min="15" max="15" width="7.7109375" style="81" customWidth="1"/>
    <col min="16" max="20" width="7.7109375" style="89" customWidth="1"/>
    <col min="21" max="23" width="10.7109375" style="89" customWidth="1"/>
    <col min="24" max="25" width="11.42578125" style="89"/>
    <col min="26" max="26" width="17.140625" style="89" bestFit="1" customWidth="1"/>
    <col min="27" max="27" width="17.140625" style="81" bestFit="1" customWidth="1"/>
    <col min="28" max="16384" width="11.42578125" style="81"/>
  </cols>
  <sheetData>
    <row r="3" spans="1:27" x14ac:dyDescent="0.2">
      <c r="A3" s="82" t="s">
        <v>300</v>
      </c>
      <c r="E3" s="81" t="s">
        <v>15</v>
      </c>
      <c r="G3" s="146" t="s">
        <v>301</v>
      </c>
      <c r="H3" s="86">
        <f>PRODUCT(E4,E5,VLOOKUP(E3,Parámetros!O4:W6,8,FALSE))</f>
        <v>11718.75</v>
      </c>
      <c r="I3" s="81" t="s">
        <v>304</v>
      </c>
    </row>
    <row r="4" spans="1:27" x14ac:dyDescent="0.2">
      <c r="A4" s="82" t="s">
        <v>210</v>
      </c>
      <c r="E4" s="90">
        <v>12.5</v>
      </c>
      <c r="G4" s="146"/>
      <c r="H4" s="86">
        <f>IF(H7&lt;10,PRODUCT(E4,E5,VLOOKUP(E3,Parámetros!O4:Y6,5,FALSE)),IF(AND(10&lt;=H7,H7&lt;VLOOKUP(E3,Parámetros!O4:Y6,10,FALSE))=TRUE,PRODUCT(VLOOKUP(E3,Parámetros!O4:Y6,5,FALSE),E4,E5,1-(H7/VLOOKUP(E3,Parámetros!O4:Y6,10,FALSE))^4/3),IF(AND(VLOOKUP(E3,Parámetros!O4:Y6,10,FALSE)&lt;=H7,H7&lt;50)=TRUE,PRODUCT(PI()^2,VLOOKUP(E3,Parámetros!O4:Y6,3,FALSE),E4,E5,POWER(2.5*H7^2,-1))," ")))</f>
        <v>8700.5540103123676</v>
      </c>
      <c r="I4" s="145" t="s">
        <v>305</v>
      </c>
      <c r="J4" s="145"/>
      <c r="X4" s="108"/>
      <c r="Y4" s="108"/>
      <c r="Z4" s="108"/>
      <c r="AA4" s="109"/>
    </row>
    <row r="5" spans="1:27" x14ac:dyDescent="0.2">
      <c r="A5" s="82" t="s">
        <v>277</v>
      </c>
      <c r="E5" s="90">
        <v>12.5</v>
      </c>
      <c r="G5" s="146"/>
      <c r="H5" s="86">
        <f>IF(H7&lt;10,PRODUCT(E4,E5,VLOOKUP(E3,Parámetros!O4:Y6,5,FALSE)),IF(AND(10&lt;=H7,H7&lt;VLOOKUP(E3,Parámetros!O4:Y6,11,FALSE))=TRUE,PRODUCT(VLOOKUP(E3,Parámetros!O4:Y6,5,FALSE),E4,E5,1-(H7/VLOOKUP(E3,Parámetros!O4:Y6,11,FALSE))^4/3),IF(AND(VLOOKUP(E3,Parámetros!O4:Y6,11,FALSE)&lt;=H7,H7&lt;50)=TRUE,PRODUCT(PI()^2,VLOOKUP(E3,Parámetros!O4:Y6,3,FALSE),E4,E5,POWER(2.5*H7^2,-1))," ")))</f>
        <v>10784.200689272537</v>
      </c>
      <c r="I5" s="145" t="s">
        <v>306</v>
      </c>
      <c r="J5" s="145"/>
      <c r="K5" s="145"/>
    </row>
    <row r="6" spans="1:27" x14ac:dyDescent="0.2">
      <c r="A6" s="82" t="s">
        <v>197</v>
      </c>
      <c r="D6" s="84"/>
      <c r="E6" s="91">
        <f>PRODUCT(E4,E5^3,POWER(12,-1))</f>
        <v>2034.5052083333333</v>
      </c>
      <c r="G6" s="82" t="s">
        <v>340</v>
      </c>
      <c r="H6" s="86">
        <f>PRODUCT(PI()^2,VLOOKUP(E3,Parámetros!O4:Y6,3,FALSE),E6,POWER(I10*E8,-1))</f>
        <v>8031904.6232823553</v>
      </c>
    </row>
    <row r="7" spans="1:27" x14ac:dyDescent="0.2">
      <c r="A7" s="82" t="s">
        <v>298</v>
      </c>
      <c r="D7" s="84"/>
      <c r="E7" s="92">
        <f>PRODUCT(E4,E5^2,POWER(6,-1))</f>
        <v>325.52083333333331</v>
      </c>
      <c r="G7" s="144" t="s">
        <v>117</v>
      </c>
      <c r="H7" s="143">
        <f>PRODUCT(I10,E8,POWER(MIN(E4:E5),-1))</f>
        <v>18</v>
      </c>
      <c r="I7" s="145" t="str">
        <f>CONCATENATE(IF(H7&lt;10,"Columna Corta",IF(AND(10&lt;=H7,H7&lt;VLOOKUP(E3,Parámetros!O4:Y6,10,FALSE))=TRUE,"Columna Intermedia",IF(AND(VLOOKUP(E3,Parámetros!O4:Y6,10,FALSE)&lt;=H7,H7&lt;50)=TRUE,"Columna Larga","Elemento Esbelto")))," para Columnas")</f>
        <v>Columna Intermedia para Columnas</v>
      </c>
      <c r="J7" s="145"/>
      <c r="K7" s="145"/>
    </row>
    <row r="8" spans="1:27" x14ac:dyDescent="0.2">
      <c r="A8" s="82" t="s">
        <v>299</v>
      </c>
      <c r="E8" s="90">
        <v>225</v>
      </c>
      <c r="G8" s="144"/>
      <c r="H8" s="143"/>
      <c r="I8" s="145" t="str">
        <f>CONCATENATE(IF(H7&lt;10,"Columna Corta",IF(AND(10&lt;=H7,H7&lt;VLOOKUP(E3,Parámetros!O4:Y6,11,FALSE))=TRUE,"Columna Intermedia",IF(AND(VLOOKUP(E3,Parámetros!O4:Y6,11,FALSE)&lt;=H7,H7&lt;50)=TRUE,"Columna Larga","Elemento Esbelto")))," para Entramados")</f>
        <v>Columna Intermedia para Entramados</v>
      </c>
      <c r="J8" s="145"/>
      <c r="K8" s="145"/>
    </row>
    <row r="9" spans="1:27" x14ac:dyDescent="0.2">
      <c r="A9" s="82"/>
      <c r="B9" s="82"/>
      <c r="C9" s="83"/>
      <c r="E9" s="90"/>
    </row>
    <row r="10" spans="1:27" ht="27" customHeight="1" x14ac:dyDescent="0.2">
      <c r="A10" s="142" t="s">
        <v>290</v>
      </c>
      <c r="B10" s="142"/>
      <c r="C10" s="142"/>
      <c r="D10" s="147" t="s">
        <v>283</v>
      </c>
      <c r="E10" s="147"/>
      <c r="F10" s="147"/>
      <c r="G10" s="147"/>
      <c r="H10" s="147"/>
      <c r="I10" s="85">
        <f>VLOOKUP(D10,Parámetros!AA4:AB9,2,FALSE)</f>
        <v>1</v>
      </c>
      <c r="J10" s="85"/>
    </row>
    <row r="11" spans="1:27" x14ac:dyDescent="0.2">
      <c r="K11" s="83"/>
    </row>
    <row r="13" spans="1:27" ht="25.5" x14ac:dyDescent="0.2">
      <c r="A13" s="94" t="s">
        <v>309</v>
      </c>
      <c r="B13" s="95" t="s">
        <v>310</v>
      </c>
      <c r="C13" s="95" t="s">
        <v>311</v>
      </c>
      <c r="D13" s="95" t="s">
        <v>313</v>
      </c>
      <c r="E13" s="95" t="s">
        <v>318</v>
      </c>
      <c r="F13" s="95" t="s">
        <v>330</v>
      </c>
      <c r="G13" s="95" t="s">
        <v>332</v>
      </c>
      <c r="H13" s="95" t="s">
        <v>331</v>
      </c>
      <c r="I13" s="95" t="s">
        <v>314</v>
      </c>
      <c r="J13" s="95" t="s">
        <v>333</v>
      </c>
      <c r="K13" s="95" t="s">
        <v>317</v>
      </c>
      <c r="L13" s="95" t="s">
        <v>316</v>
      </c>
      <c r="M13" s="95" t="s">
        <v>315</v>
      </c>
    </row>
    <row r="14" spans="1:27" x14ac:dyDescent="0.2">
      <c r="A14" s="99" t="s">
        <v>307</v>
      </c>
      <c r="B14" s="89">
        <f>VLOOKUP(E3,Parámetros!O4:Y6,8,FALSE)</f>
        <v>75</v>
      </c>
      <c r="C14" s="89">
        <f>VLOOKUP(E3,Parámetros!O4:Y6,4,FALSE)</f>
        <v>100</v>
      </c>
      <c r="D14" s="89" t="s">
        <v>312</v>
      </c>
      <c r="E14" s="96" t="s">
        <v>312</v>
      </c>
      <c r="F14" s="101">
        <f>I14/E4/E5</f>
        <v>1.9180160000000002</v>
      </c>
      <c r="G14" s="101">
        <f>6*K14/(E4*E5^2)</f>
        <v>67.92348672</v>
      </c>
      <c r="H14" s="101">
        <f>1.5*J14/E4/E5</f>
        <v>4.4895360000000002</v>
      </c>
      <c r="I14" s="111">
        <v>299.69</v>
      </c>
      <c r="J14" s="89">
        <v>467.66</v>
      </c>
      <c r="K14" s="89">
        <v>22110.51</v>
      </c>
      <c r="L14" s="97">
        <f>SUM(PRODUCT(I14,POWER(H3,-1)),PRODUCT(K14,POWER(E7*C14,-1)))</f>
        <v>0.70480841386666671</v>
      </c>
      <c r="M14" s="89" t="str">
        <f>IF(L14&lt;=1,"Cumple","No cumple")</f>
        <v>Cumple</v>
      </c>
    </row>
    <row r="15" spans="1:27" x14ac:dyDescent="0.2">
      <c r="A15" s="100" t="s">
        <v>308</v>
      </c>
      <c r="B15" s="93" t="s">
        <v>312</v>
      </c>
      <c r="C15" s="93">
        <f>C14</f>
        <v>100</v>
      </c>
      <c r="D15" s="93">
        <f>VLOOKUP(E3,Parámetros!O4:Y6,5,FALSE)</f>
        <v>80</v>
      </c>
      <c r="E15" s="93">
        <f>POWER(1-1.5*I15/H6,-1)</f>
        <v>1.0000507383609802</v>
      </c>
      <c r="F15" s="102">
        <f>I15/E4/E5</f>
        <v>1.7386880000000002</v>
      </c>
      <c r="G15" s="102">
        <f>6*K15/(E4*E5^2)</f>
        <v>67.92348672</v>
      </c>
      <c r="H15" s="102">
        <f>H14</f>
        <v>4.4895360000000002</v>
      </c>
      <c r="I15" s="93">
        <v>271.67</v>
      </c>
      <c r="J15" s="93">
        <f>J14</f>
        <v>467.66</v>
      </c>
      <c r="K15" s="93">
        <f>K14</f>
        <v>22110.51</v>
      </c>
      <c r="L15" s="98">
        <f>SUM(PRODUCT(I15,POWER(H4,-1)),PRODUCT(E15,K15,POWER(E7*C15,-1)))</f>
        <v>0.71049377889302878</v>
      </c>
      <c r="M15" s="93" t="str">
        <f>IF(L15&lt;=1,"Cumple","No cumple")</f>
        <v>Cumple</v>
      </c>
    </row>
    <row r="17" spans="1:27" x14ac:dyDescent="0.2">
      <c r="A17" s="136" t="s">
        <v>339</v>
      </c>
      <c r="B17" s="136"/>
      <c r="C17" s="136"/>
      <c r="D17" s="136"/>
      <c r="E17" s="136"/>
      <c r="F17" s="89"/>
      <c r="G17" s="89"/>
      <c r="P17" s="141" t="s">
        <v>3</v>
      </c>
      <c r="Q17" s="141"/>
      <c r="R17" s="141" t="s">
        <v>336</v>
      </c>
      <c r="S17" s="141"/>
      <c r="T17" s="141"/>
      <c r="U17" s="141" t="s">
        <v>321</v>
      </c>
      <c r="V17" s="141"/>
      <c r="W17" s="141"/>
      <c r="X17" s="93"/>
      <c r="Y17" s="93"/>
      <c r="Z17" s="93"/>
      <c r="AA17" s="105"/>
    </row>
    <row r="18" spans="1:27" x14ac:dyDescent="0.2">
      <c r="A18" s="82" t="s">
        <v>337</v>
      </c>
      <c r="E18" s="91">
        <f>5*K14*E8*250/(48*VLOOKUP(E3,Parámetros!O4:Y6,3,FALSE))</f>
        <v>1439.4863281249998</v>
      </c>
      <c r="K18" s="83"/>
      <c r="P18" s="139" t="s">
        <v>324</v>
      </c>
      <c r="Q18" s="139" t="s">
        <v>325</v>
      </c>
      <c r="R18" s="139" t="s">
        <v>326</v>
      </c>
      <c r="S18" s="139" t="s">
        <v>327</v>
      </c>
      <c r="T18" s="139" t="s">
        <v>328</v>
      </c>
      <c r="U18" s="139" t="s">
        <v>304</v>
      </c>
      <c r="V18" s="139" t="s">
        <v>319</v>
      </c>
      <c r="W18" s="139" t="s">
        <v>320</v>
      </c>
      <c r="X18" s="139" t="s">
        <v>329</v>
      </c>
      <c r="Y18" s="137" t="s">
        <v>323</v>
      </c>
      <c r="Z18" s="135" t="s">
        <v>322</v>
      </c>
      <c r="AA18" s="135"/>
    </row>
    <row r="19" spans="1:27" x14ac:dyDescent="0.2">
      <c r="A19" s="82" t="s">
        <v>338</v>
      </c>
      <c r="E19" s="92">
        <f>K14/C14/1.1</f>
        <v>201.00463636363634</v>
      </c>
      <c r="P19" s="140"/>
      <c r="Q19" s="140"/>
      <c r="R19" s="140"/>
      <c r="S19" s="140"/>
      <c r="T19" s="140"/>
      <c r="U19" s="140"/>
      <c r="V19" s="140"/>
      <c r="W19" s="140"/>
      <c r="X19" s="140"/>
      <c r="Y19" s="138"/>
      <c r="Z19" s="106" t="s">
        <v>334</v>
      </c>
      <c r="AA19" s="107" t="s">
        <v>335</v>
      </c>
    </row>
    <row r="20" spans="1:27" x14ac:dyDescent="0.2">
      <c r="P20" s="89">
        <v>1.5</v>
      </c>
      <c r="Q20" s="89">
        <v>2</v>
      </c>
      <c r="R20" s="89">
        <f>PRODUCT(P20:Q20)</f>
        <v>3</v>
      </c>
      <c r="S20" s="89">
        <f>PRODUCT(P20,Q20^3,POWER(12,-1))</f>
        <v>1</v>
      </c>
      <c r="T20" s="89">
        <f>PRODUCT(P20,Q20^2,POWER(6,-1))</f>
        <v>1</v>
      </c>
      <c r="U20" s="89">
        <f>PRODUCT(R20,VLOOKUP($E$3,Parámetros!$O$4:$W$6,8,FALSE))</f>
        <v>225</v>
      </c>
      <c r="V20" s="104" t="str">
        <f>IF(Y20&lt;10,PRODUCT(R20,VLOOKUP($E$3,Parámetros!$O$4:$Y$6,5,FALSE)),IF(AND(10&lt;=Y20,Y20&lt;VLOOKUP($E$3,Parámetros!$O$4:$Y$6,10,FALSE))=TRUE,PRODUCT(VLOOKUP($E$3,Parámetros!$O$4:$Y$6,5,FALSE),R20,1-(Y20/VLOOKUP($E$3,Parámetros!$O$4:$Y$6,10,FALSE))^4/3),IF(AND(VLOOKUP($E$3,Parámetros!$O$4:$Y$6,10,FALSE)&lt;=Y20,Y20&lt;50)=TRUE,PRODUCT(PI()^2,VLOOKUP($E$3,Parámetros!$O$4:$Y$6,3,FALSE),R20,POWER(2.5*Y20^2,-1))," ")))</f>
        <v xml:space="preserve"> </v>
      </c>
      <c r="W20" s="89" t="str">
        <f>IF(Y20&lt;10,PRODUCT(R20,VLOOKUP($E$3,Parámetros!$O$4:$Y$6,5,FALSE)),IF(AND(10&lt;=Y20,Y20&lt;VLOOKUP($E$3,Parámetros!$O$4:$Y$6,11,FALSE))=TRUE,PRODUCT(VLOOKUP($E$3,Parámetros!$O$4:$Y$6,5,FALSE),R20,1-(Y20/VLOOKUP($E$3,Parámetros!$O$4:$Y$6,11,FALSE))^4/3),IF(AND(VLOOKUP($E$3,Parámetros!$O$4:$Y$6,11,FALSE)&lt;=Y20,Y20&lt;50)=TRUE,PRODUCT(PI()^2,VLOOKUP($E$3,Parámetros!$O$4:$Y$6,3,FALSE),R20,POWER(2.5*Y20^2,-1))," ")))</f>
        <v xml:space="preserve"> </v>
      </c>
      <c r="X20" s="104">
        <f>PRODUCT(PI()^2,VLOOKUP($E$3,Parámetros!$O$4:$Y$6,3,FALSE),S20,POWER($I$10*$E$8,-1))</f>
        <v>3947.8417604357433</v>
      </c>
      <c r="Y20" s="89">
        <f>PRODUCT($I$10,$E$8,POWER(MIN(P20:Q20),-1))</f>
        <v>150</v>
      </c>
      <c r="Z20" s="103" t="str">
        <f>IF(Y20&lt;10,"Columna Corta",IF(AND(10&lt;=Y20,Y20&lt;VLOOKUP($E$3,Parámetros!$O$4:$Y$6,10,FALSE))=TRUE,"Columna Intermedia",IF(AND(VLOOKUP($E$3,Parámetros!$O$4:$Y$6,10,FALSE)&lt;=Y20,Y20&lt;50)=TRUE,"Columna Larga","Elemento Esbelto")))</f>
        <v>Elemento Esbelto</v>
      </c>
      <c r="AA20" s="81" t="str">
        <f>IF(Y20&lt;10,"Columna Corta",IF(AND(10&lt;=Y20,Y20&lt;VLOOKUP($E$3,Parámetros!$O$4:$Y$6,11,FALSE))=TRUE,"Columna Intermedia",IF(AND(VLOOKUP($E$3,Parámetros!$O$4:$Y$6,11,FALSE)&lt;=Y20,Y20&lt;50)=TRUE,"Columna Larga","Elemento Esbelto")))</f>
        <v>Elemento Esbelto</v>
      </c>
    </row>
    <row r="21" spans="1:27" x14ac:dyDescent="0.2">
      <c r="A21" s="82" t="s">
        <v>341</v>
      </c>
      <c r="E21" s="110">
        <f>MAX(J14:J15)/PRODUCT(E4,VLOOKUP(E3,Parámetros!O4:Y6,6,FALSE))</f>
        <v>2.4941866666666668</v>
      </c>
      <c r="J21" s="89"/>
      <c r="P21" s="89">
        <v>1.5</v>
      </c>
      <c r="Q21" s="89">
        <v>4</v>
      </c>
      <c r="R21" s="89">
        <f>PRODUCT(P21:Q21)</f>
        <v>6</v>
      </c>
      <c r="S21" s="89">
        <f t="shared" ref="S21:S83" si="0">PRODUCT(P21,Q21^3,POWER(12,-1))</f>
        <v>8</v>
      </c>
      <c r="T21" s="89">
        <f t="shared" ref="T21:T83" si="1">PRODUCT(P21,Q21^2,POWER(6,-1))</f>
        <v>4</v>
      </c>
      <c r="U21" s="89">
        <f>PRODUCT(R21,VLOOKUP($E$3,Parámetros!$O$4:$W$6,8,FALSE))</f>
        <v>450</v>
      </c>
      <c r="V21" s="104" t="str">
        <f>IF(Y21&lt;10,PRODUCT(R21,VLOOKUP($E$3,Parámetros!$O$4:$Y$6,5,FALSE)),IF(AND(10&lt;=Y21,Y21&lt;VLOOKUP($E$3,Parámetros!$O$4:$Y$6,10,FALSE))=TRUE,PRODUCT(VLOOKUP($E$3,Parámetros!$O$4:$Y$6,5,FALSE),R21,1-(Y21/VLOOKUP($E$3,Parámetros!$O$4:$Y$6,10,FALSE))^4/3),IF(AND(VLOOKUP($E$3,Parámetros!$O$4:$Y$6,10,FALSE)&lt;=Y21,Y21&lt;50)=TRUE,PRODUCT(PI()^2,VLOOKUP($E$3,Parámetros!$O$4:$Y$6,3,FALSE),R21,POWER(2.5*Y21^2,-1))," ")))</f>
        <v xml:space="preserve"> </v>
      </c>
      <c r="W21" s="89" t="str">
        <f>IF(Y21&lt;10,PRODUCT(R21,VLOOKUP($E$3,Parámetros!$O$4:$Y$6,5,FALSE)),IF(AND(10&lt;=Y21,Y21&lt;VLOOKUP($E$3,Parámetros!$O$4:$Y$6,11,FALSE))=TRUE,PRODUCT(VLOOKUP($E$3,Parámetros!$O$4:$Y$6,5,FALSE),R21,1-(Y21/VLOOKUP($E$3,Parámetros!$O$4:$Y$6,11,FALSE))^4/3),IF(AND(VLOOKUP($E$3,Parámetros!$O$4:$Y$6,11,FALSE)&lt;=Y21,Y21&lt;50)=TRUE,PRODUCT(PI()^2,VLOOKUP($E$3,Parámetros!$O$4:$Y$6,3,FALSE),R21,POWER(2.5*Y21^2,-1))," ")))</f>
        <v xml:space="preserve"> </v>
      </c>
      <c r="X21" s="104">
        <f>PRODUCT(PI()^2,VLOOKUP($E$3,Parámetros!$O$4:$Y$6,3,FALSE),S21,POWER($I$10*$E$8,-1))</f>
        <v>31582.734083485946</v>
      </c>
      <c r="Y21" s="89">
        <f t="shared" ref="Y21:Y83" si="2">PRODUCT($I$10,$E$8,POWER(MIN(P21:Q21),-1))</f>
        <v>150</v>
      </c>
      <c r="Z21" s="103" t="str">
        <f>IF(Y21&lt;10,"Columna Corta",IF(AND(10&lt;=Y21,Y21&lt;VLOOKUP($E$3,Parámetros!$O$4:$Y$6,10,FALSE))=TRUE,"Columna Intermedia",IF(AND(VLOOKUP($E$3,Parámetros!$O$4:$Y$6,10,FALSE)&lt;=Y21,Y21&lt;50)=TRUE,"Columna Larga","Elemento Esbelto")))</f>
        <v>Elemento Esbelto</v>
      </c>
      <c r="AA21" s="81" t="str">
        <f>IF(Y21&lt;10,"Columna Corta",IF(AND(10&lt;=Y21,Y21&lt;VLOOKUP($E$3,Parámetros!$O$4:$Y$6,11,FALSE))=TRUE,"Columna Intermedia",IF(AND(VLOOKUP($E$3,Parámetros!$O$4:$Y$6,11,FALSE)&lt;=Y21,Y21&lt;50)=TRUE,"Columna Larga","Elemento Esbelto")))</f>
        <v>Elemento Esbelto</v>
      </c>
    </row>
    <row r="22" spans="1:27" x14ac:dyDescent="0.2">
      <c r="I22" s="83"/>
      <c r="P22" s="89">
        <v>1.5</v>
      </c>
      <c r="Q22" s="89">
        <v>6.5</v>
      </c>
      <c r="R22" s="89">
        <f t="shared" ref="R22:R83" si="3">PRODUCT(P22:Q22)</f>
        <v>9.75</v>
      </c>
      <c r="S22" s="89">
        <f t="shared" si="0"/>
        <v>34.328125</v>
      </c>
      <c r="T22" s="89">
        <f t="shared" si="1"/>
        <v>10.5625</v>
      </c>
      <c r="U22" s="89">
        <f>PRODUCT(R22,VLOOKUP($E$3,Parámetros!$O$4:$W$6,8,FALSE))</f>
        <v>731.25</v>
      </c>
      <c r="V22" s="104" t="str">
        <f>IF(Y22&lt;10,PRODUCT(R22,VLOOKUP($E$3,Parámetros!$O$4:$Y$6,5,FALSE)),IF(AND(10&lt;=Y22,Y22&lt;VLOOKUP($E$3,Parámetros!$O$4:$Y$6,10,FALSE))=TRUE,PRODUCT(VLOOKUP($E$3,Parámetros!$O$4:$Y$6,5,FALSE),R22,1-(Y22/VLOOKUP($E$3,Parámetros!$O$4:$Y$6,10,FALSE))^4/3),IF(AND(VLOOKUP($E$3,Parámetros!$O$4:$Y$6,10,FALSE)&lt;=Y22,Y22&lt;50)=TRUE,PRODUCT(PI()^2,VLOOKUP($E$3,Parámetros!$O$4:$Y$6,3,FALSE),R22,POWER(2.5*Y22^2,-1))," ")))</f>
        <v xml:space="preserve"> </v>
      </c>
      <c r="W22" s="89" t="str">
        <f>IF(Y22&lt;10,PRODUCT(R22,VLOOKUP($E$3,Parámetros!$O$4:$Y$6,5,FALSE)),IF(AND(10&lt;=Y22,Y22&lt;VLOOKUP($E$3,Parámetros!$O$4:$Y$6,11,FALSE))=TRUE,PRODUCT(VLOOKUP($E$3,Parámetros!$O$4:$Y$6,5,FALSE),R22,1-(Y22/VLOOKUP($E$3,Parámetros!$O$4:$Y$6,11,FALSE))^4/3),IF(AND(VLOOKUP($E$3,Parámetros!$O$4:$Y$6,11,FALSE)&lt;=Y22,Y22&lt;50)=TRUE,PRODUCT(PI()^2,VLOOKUP($E$3,Parámetros!$O$4:$Y$6,3,FALSE),R22,POWER(2.5*Y22^2,-1))," ")))</f>
        <v xml:space="preserve"> </v>
      </c>
      <c r="X22" s="104">
        <f>PRODUCT(PI()^2,VLOOKUP($E$3,Parámetros!$O$4:$Y$6,3,FALSE),S22,POWER($I$10*$E$8,-1))</f>
        <v>135522.00543245825</v>
      </c>
      <c r="Y22" s="89">
        <f t="shared" si="2"/>
        <v>150</v>
      </c>
      <c r="Z22" s="103" t="str">
        <f>IF(Y22&lt;10,"Columna Corta",IF(AND(10&lt;=Y22,Y22&lt;VLOOKUP($E$3,Parámetros!$O$4:$Y$6,10,FALSE))=TRUE,"Columna Intermedia",IF(AND(VLOOKUP($E$3,Parámetros!$O$4:$Y$6,10,FALSE)&lt;=Y22,Y22&lt;50)=TRUE,"Columna Larga","Elemento Esbelto")))</f>
        <v>Elemento Esbelto</v>
      </c>
      <c r="AA22" s="81" t="str">
        <f>IF(Y22&lt;10,"Columna Corta",IF(AND(10&lt;=Y22,Y22&lt;VLOOKUP($E$3,Parámetros!$O$4:$Y$6,11,FALSE))=TRUE,"Columna Intermedia",IF(AND(VLOOKUP($E$3,Parámetros!$O$4:$Y$6,11,FALSE)&lt;=Y22,Y22&lt;50)=TRUE,"Columna Larga","Elemento Esbelto")))</f>
        <v>Elemento Esbelto</v>
      </c>
    </row>
    <row r="23" spans="1:27" x14ac:dyDescent="0.2">
      <c r="P23" s="89">
        <v>1.5</v>
      </c>
      <c r="Q23" s="89">
        <v>9</v>
      </c>
      <c r="R23" s="89">
        <f t="shared" si="3"/>
        <v>13.5</v>
      </c>
      <c r="S23" s="89">
        <f t="shared" si="0"/>
        <v>91.125</v>
      </c>
      <c r="T23" s="89">
        <f t="shared" si="1"/>
        <v>20.25</v>
      </c>
      <c r="U23" s="89">
        <f>PRODUCT(R23,VLOOKUP($E$3,Parámetros!$O$4:$W$6,8,FALSE))</f>
        <v>1012.5</v>
      </c>
      <c r="V23" s="104" t="str">
        <f>IF(Y23&lt;10,PRODUCT(R23,VLOOKUP($E$3,Parámetros!$O$4:$Y$6,5,FALSE)),IF(AND(10&lt;=Y23,Y23&lt;VLOOKUP($E$3,Parámetros!$O$4:$Y$6,10,FALSE))=TRUE,PRODUCT(VLOOKUP($E$3,Parámetros!$O$4:$Y$6,5,FALSE),R23,1-(Y23/VLOOKUP($E$3,Parámetros!$O$4:$Y$6,10,FALSE))^4/3),IF(AND(VLOOKUP($E$3,Parámetros!$O$4:$Y$6,10,FALSE)&lt;=Y23,Y23&lt;50)=TRUE,PRODUCT(PI()^2,VLOOKUP($E$3,Parámetros!$O$4:$Y$6,3,FALSE),R23,POWER(2.5*Y23^2,-1))," ")))</f>
        <v xml:space="preserve"> </v>
      </c>
      <c r="W23" s="89" t="str">
        <f>IF(Y23&lt;10,PRODUCT(R23,VLOOKUP($E$3,Parámetros!$O$4:$Y$6,5,FALSE)),IF(AND(10&lt;=Y23,Y23&lt;VLOOKUP($E$3,Parámetros!$O$4:$Y$6,11,FALSE))=TRUE,PRODUCT(VLOOKUP($E$3,Parámetros!$O$4:$Y$6,5,FALSE),R23,1-(Y23/VLOOKUP($E$3,Parámetros!$O$4:$Y$6,11,FALSE))^4/3),IF(AND(VLOOKUP($E$3,Parámetros!$O$4:$Y$6,11,FALSE)&lt;=Y23,Y23&lt;50)=TRUE,PRODUCT(PI()^2,VLOOKUP($E$3,Parámetros!$O$4:$Y$6,3,FALSE),R23,POWER(2.5*Y23^2,-1))," ")))</f>
        <v xml:space="preserve"> </v>
      </c>
      <c r="X23" s="104">
        <f>PRODUCT(PI()^2,VLOOKUP($E$3,Parámetros!$O$4:$Y$6,3,FALSE),S23,POWER($I$10*$E$8,-1))</f>
        <v>359747.08041970711</v>
      </c>
      <c r="Y23" s="89">
        <f t="shared" si="2"/>
        <v>150</v>
      </c>
      <c r="Z23" s="103" t="str">
        <f>IF(Y23&lt;10,"Columna Corta",IF(AND(10&lt;=Y23,Y23&lt;VLOOKUP($E$3,Parámetros!$O$4:$Y$6,10,FALSE))=TRUE,"Columna Intermedia",IF(AND(VLOOKUP($E$3,Parámetros!$O$4:$Y$6,10,FALSE)&lt;=Y23,Y23&lt;50)=TRUE,"Columna Larga","Elemento Esbelto")))</f>
        <v>Elemento Esbelto</v>
      </c>
      <c r="AA23" s="81" t="str">
        <f>IF(Y23&lt;10,"Columna Corta",IF(AND(10&lt;=Y23,Y23&lt;VLOOKUP($E$3,Parámetros!$O$4:$Y$6,11,FALSE))=TRUE,"Columna Intermedia",IF(AND(VLOOKUP($E$3,Parámetros!$O$4:$Y$6,11,FALSE)&lt;=Y23,Y23&lt;50)=TRUE,"Columna Larga","Elemento Esbelto")))</f>
        <v>Elemento Esbelto</v>
      </c>
    </row>
    <row r="24" spans="1:27" x14ac:dyDescent="0.2">
      <c r="P24" s="89">
        <v>1.5</v>
      </c>
      <c r="Q24" s="89">
        <v>14</v>
      </c>
      <c r="R24" s="89">
        <f t="shared" si="3"/>
        <v>21</v>
      </c>
      <c r="S24" s="89">
        <f t="shared" si="0"/>
        <v>343</v>
      </c>
      <c r="T24" s="89">
        <f t="shared" si="1"/>
        <v>49</v>
      </c>
      <c r="U24" s="89">
        <f>PRODUCT(R24,VLOOKUP($E$3,Parámetros!$O$4:$W$6,8,FALSE))</f>
        <v>1575</v>
      </c>
      <c r="V24" s="104" t="str">
        <f>IF(Y24&lt;10,PRODUCT(R24,VLOOKUP($E$3,Parámetros!$O$4:$Y$6,5,FALSE)),IF(AND(10&lt;=Y24,Y24&lt;VLOOKUP($E$3,Parámetros!$O$4:$Y$6,10,FALSE))=TRUE,PRODUCT(VLOOKUP($E$3,Parámetros!$O$4:$Y$6,5,FALSE),R24,1-(Y24/VLOOKUP($E$3,Parámetros!$O$4:$Y$6,10,FALSE))^4/3),IF(AND(VLOOKUP($E$3,Parámetros!$O$4:$Y$6,10,FALSE)&lt;=Y24,Y24&lt;50)=TRUE,PRODUCT(PI()^2,VLOOKUP($E$3,Parámetros!$O$4:$Y$6,3,FALSE),R24,POWER(2.5*Y24^2,-1))," ")))</f>
        <v xml:space="preserve"> </v>
      </c>
      <c r="W24" s="89" t="str">
        <f>IF(Y24&lt;10,PRODUCT(R24,VLOOKUP($E$3,Parámetros!$O$4:$Y$6,5,FALSE)),IF(AND(10&lt;=Y24,Y24&lt;VLOOKUP($E$3,Parámetros!$O$4:$Y$6,11,FALSE))=TRUE,PRODUCT(VLOOKUP($E$3,Parámetros!$O$4:$Y$6,5,FALSE),R24,1-(Y24/VLOOKUP($E$3,Parámetros!$O$4:$Y$6,11,FALSE))^4/3),IF(AND(VLOOKUP($E$3,Parámetros!$O$4:$Y$6,11,FALSE)&lt;=Y24,Y24&lt;50)=TRUE,PRODUCT(PI()^2,VLOOKUP($E$3,Parámetros!$O$4:$Y$6,3,FALSE),R24,POWER(2.5*Y24^2,-1))," ")))</f>
        <v xml:space="preserve"> </v>
      </c>
      <c r="X24" s="104">
        <f>PRODUCT(PI()^2,VLOOKUP($E$3,Parámetros!$O$4:$Y$6,3,FALSE),S24,POWER($I$10*$E$8,-1))</f>
        <v>1354109.7238294599</v>
      </c>
      <c r="Y24" s="89">
        <f t="shared" si="2"/>
        <v>150</v>
      </c>
      <c r="Z24" s="103" t="str">
        <f>IF(Y24&lt;10,"Columna Corta",IF(AND(10&lt;=Y24,Y24&lt;VLOOKUP($E$3,Parámetros!$O$4:$Y$6,10,FALSE))=TRUE,"Columna Intermedia",IF(AND(VLOOKUP($E$3,Parámetros!$O$4:$Y$6,10,FALSE)&lt;=Y24,Y24&lt;50)=TRUE,"Columna Larga","Elemento Esbelto")))</f>
        <v>Elemento Esbelto</v>
      </c>
      <c r="AA24" s="81" t="str">
        <f>IF(Y24&lt;10,"Columna Corta",IF(AND(10&lt;=Y24,Y24&lt;VLOOKUP($E$3,Parámetros!$O$4:$Y$6,11,FALSE))=TRUE,"Columna Intermedia",IF(AND(VLOOKUP($E$3,Parámetros!$O$4:$Y$6,11,FALSE)&lt;=Y24,Y24&lt;50)=TRUE,"Columna Larga","Elemento Esbelto")))</f>
        <v>Elemento Esbelto</v>
      </c>
    </row>
    <row r="25" spans="1:27" x14ac:dyDescent="0.2">
      <c r="P25" s="89">
        <v>1.5</v>
      </c>
      <c r="Q25" s="89">
        <v>19</v>
      </c>
      <c r="R25" s="89">
        <f t="shared" si="3"/>
        <v>28.5</v>
      </c>
      <c r="S25" s="89">
        <f t="shared" si="0"/>
        <v>857.375</v>
      </c>
      <c r="T25" s="89">
        <f t="shared" si="1"/>
        <v>90.25</v>
      </c>
      <c r="U25" s="89">
        <f>PRODUCT(R25,VLOOKUP($E$3,Parámetros!$O$4:$W$6,8,FALSE))</f>
        <v>2137.5</v>
      </c>
      <c r="V25" s="104" t="str">
        <f>IF(Y25&lt;10,PRODUCT(R25,VLOOKUP($E$3,Parámetros!$O$4:$Y$6,5,FALSE)),IF(AND(10&lt;=Y25,Y25&lt;VLOOKUP($E$3,Parámetros!$O$4:$Y$6,10,FALSE))=TRUE,PRODUCT(VLOOKUP($E$3,Parámetros!$O$4:$Y$6,5,FALSE),R25,1-(Y25/VLOOKUP($E$3,Parámetros!$O$4:$Y$6,10,FALSE))^4/3),IF(AND(VLOOKUP($E$3,Parámetros!$O$4:$Y$6,10,FALSE)&lt;=Y25,Y25&lt;50)=TRUE,PRODUCT(PI()^2,VLOOKUP($E$3,Parámetros!$O$4:$Y$6,3,FALSE),R25,POWER(2.5*Y25^2,-1))," ")))</f>
        <v xml:space="preserve"> </v>
      </c>
      <c r="W25" s="89" t="str">
        <f>IF(Y25&lt;10,PRODUCT(R25,VLOOKUP($E$3,Parámetros!$O$4:$Y$6,5,FALSE)),IF(AND(10&lt;=Y25,Y25&lt;VLOOKUP($E$3,Parámetros!$O$4:$Y$6,11,FALSE))=TRUE,PRODUCT(VLOOKUP($E$3,Parámetros!$O$4:$Y$6,5,FALSE),R25,1-(Y25/VLOOKUP($E$3,Parámetros!$O$4:$Y$6,11,FALSE))^4/3),IF(AND(VLOOKUP($E$3,Parámetros!$O$4:$Y$6,11,FALSE)&lt;=Y25,Y25&lt;50)=TRUE,PRODUCT(PI()^2,VLOOKUP($E$3,Parámetros!$O$4:$Y$6,3,FALSE),R25,POWER(2.5*Y25^2,-1))," ")))</f>
        <v xml:space="preserve"> </v>
      </c>
      <c r="X25" s="104">
        <f>PRODUCT(PI()^2,VLOOKUP($E$3,Parámetros!$O$4:$Y$6,3,FALSE),S25,POWER($I$10*$E$8,-1))</f>
        <v>3384780.8293535952</v>
      </c>
      <c r="Y25" s="89">
        <f t="shared" si="2"/>
        <v>150</v>
      </c>
      <c r="Z25" s="103" t="str">
        <f>IF(Y25&lt;10,"Columna Corta",IF(AND(10&lt;=Y25,Y25&lt;VLOOKUP($E$3,Parámetros!$O$4:$Y$6,10,FALSE))=TRUE,"Columna Intermedia",IF(AND(VLOOKUP($E$3,Parámetros!$O$4:$Y$6,10,FALSE)&lt;=Y25,Y25&lt;50)=TRUE,"Columna Larga","Elemento Esbelto")))</f>
        <v>Elemento Esbelto</v>
      </c>
      <c r="AA25" s="81" t="str">
        <f>IF(Y25&lt;10,"Columna Corta",IF(AND(10&lt;=Y25,Y25&lt;VLOOKUP($E$3,Parámetros!$O$4:$Y$6,11,FALSE))=TRUE,"Columna Intermedia",IF(AND(VLOOKUP($E$3,Parámetros!$O$4:$Y$6,11,FALSE)&lt;=Y25,Y25&lt;50)=TRUE,"Columna Larga","Elemento Esbelto")))</f>
        <v>Elemento Esbelto</v>
      </c>
    </row>
    <row r="26" spans="1:27" x14ac:dyDescent="0.2">
      <c r="P26" s="89">
        <v>1.5</v>
      </c>
      <c r="Q26" s="89">
        <v>24</v>
      </c>
      <c r="R26" s="89">
        <f t="shared" si="3"/>
        <v>36</v>
      </c>
      <c r="S26" s="89">
        <f t="shared" si="0"/>
        <v>1728</v>
      </c>
      <c r="T26" s="89">
        <f t="shared" si="1"/>
        <v>144</v>
      </c>
      <c r="U26" s="89">
        <f>PRODUCT(R26,VLOOKUP($E$3,Parámetros!$O$4:$W$6,8,FALSE))</f>
        <v>2700</v>
      </c>
      <c r="V26" s="104" t="str">
        <f>IF(Y26&lt;10,PRODUCT(R26,VLOOKUP($E$3,Parámetros!$O$4:$Y$6,5,FALSE)),IF(AND(10&lt;=Y26,Y26&lt;VLOOKUP($E$3,Parámetros!$O$4:$Y$6,10,FALSE))=TRUE,PRODUCT(VLOOKUP($E$3,Parámetros!$O$4:$Y$6,5,FALSE),R26,1-(Y26/VLOOKUP($E$3,Parámetros!$O$4:$Y$6,10,FALSE))^4/3),IF(AND(VLOOKUP($E$3,Parámetros!$O$4:$Y$6,10,FALSE)&lt;=Y26,Y26&lt;50)=TRUE,PRODUCT(PI()^2,VLOOKUP($E$3,Parámetros!$O$4:$Y$6,3,FALSE),R26,POWER(2.5*Y26^2,-1))," ")))</f>
        <v xml:space="preserve"> </v>
      </c>
      <c r="W26" s="89" t="str">
        <f>IF(Y26&lt;10,PRODUCT(R26,VLOOKUP($E$3,Parámetros!$O$4:$Y$6,5,FALSE)),IF(AND(10&lt;=Y26,Y26&lt;VLOOKUP($E$3,Parámetros!$O$4:$Y$6,11,FALSE))=TRUE,PRODUCT(VLOOKUP($E$3,Parámetros!$O$4:$Y$6,5,FALSE),R26,1-(Y26/VLOOKUP($E$3,Parámetros!$O$4:$Y$6,11,FALSE))^4/3),IF(AND(VLOOKUP($E$3,Parámetros!$O$4:$Y$6,11,FALSE)&lt;=Y26,Y26&lt;50)=TRUE,PRODUCT(PI()^2,VLOOKUP($E$3,Parámetros!$O$4:$Y$6,3,FALSE),R26,POWER(2.5*Y26^2,-1))," ")))</f>
        <v xml:space="preserve"> </v>
      </c>
      <c r="X26" s="104">
        <f>PRODUCT(PI()^2,VLOOKUP($E$3,Parámetros!$O$4:$Y$6,3,FALSE),S26,POWER($I$10*$E$8,-1))</f>
        <v>6821870.5620329641</v>
      </c>
      <c r="Y26" s="89">
        <f t="shared" si="2"/>
        <v>150</v>
      </c>
      <c r="Z26" s="103" t="str">
        <f>IF(Y26&lt;10,"Columna Corta",IF(AND(10&lt;=Y26,Y26&lt;VLOOKUP($E$3,Parámetros!$O$4:$Y$6,10,FALSE))=TRUE,"Columna Intermedia",IF(AND(VLOOKUP($E$3,Parámetros!$O$4:$Y$6,10,FALSE)&lt;=Y26,Y26&lt;50)=TRUE,"Columna Larga","Elemento Esbelto")))</f>
        <v>Elemento Esbelto</v>
      </c>
      <c r="AA26" s="81" t="str">
        <f>IF(Y26&lt;10,"Columna Corta",IF(AND(10&lt;=Y26,Y26&lt;VLOOKUP($E$3,Parámetros!$O$4:$Y$6,11,FALSE))=TRUE,"Columna Intermedia",IF(AND(VLOOKUP($E$3,Parámetros!$O$4:$Y$6,11,FALSE)&lt;=Y26,Y26&lt;50)=TRUE,"Columna Larga","Elemento Esbelto")))</f>
        <v>Elemento Esbelto</v>
      </c>
    </row>
    <row r="27" spans="1:27" x14ac:dyDescent="0.2">
      <c r="P27" s="89">
        <v>1.5</v>
      </c>
      <c r="Q27" s="89">
        <v>29</v>
      </c>
      <c r="R27" s="89">
        <f t="shared" si="3"/>
        <v>43.5</v>
      </c>
      <c r="S27" s="89">
        <f t="shared" si="0"/>
        <v>3048.625</v>
      </c>
      <c r="T27" s="89">
        <f t="shared" si="1"/>
        <v>210.25</v>
      </c>
      <c r="U27" s="89">
        <f>PRODUCT(R27,VLOOKUP($E$3,Parámetros!$O$4:$W$6,8,FALSE))</f>
        <v>3262.5</v>
      </c>
      <c r="V27" s="104" t="str">
        <f>IF(Y27&lt;10,PRODUCT(R27,VLOOKUP($E$3,Parámetros!$O$4:$Y$6,5,FALSE)),IF(AND(10&lt;=Y27,Y27&lt;VLOOKUP($E$3,Parámetros!$O$4:$Y$6,10,FALSE))=TRUE,PRODUCT(VLOOKUP($E$3,Parámetros!$O$4:$Y$6,5,FALSE),R27,1-(Y27/VLOOKUP($E$3,Parámetros!$O$4:$Y$6,10,FALSE))^4/3),IF(AND(VLOOKUP($E$3,Parámetros!$O$4:$Y$6,10,FALSE)&lt;=Y27,Y27&lt;50)=TRUE,PRODUCT(PI()^2,VLOOKUP($E$3,Parámetros!$O$4:$Y$6,3,FALSE),R27,POWER(2.5*Y27^2,-1))," ")))</f>
        <v xml:space="preserve"> </v>
      </c>
      <c r="W27" s="89" t="str">
        <f>IF(Y27&lt;10,PRODUCT(R27,VLOOKUP($E$3,Parámetros!$O$4:$Y$6,5,FALSE)),IF(AND(10&lt;=Y27,Y27&lt;VLOOKUP($E$3,Parámetros!$O$4:$Y$6,11,FALSE))=TRUE,PRODUCT(VLOOKUP($E$3,Parámetros!$O$4:$Y$6,5,FALSE),R27,1-(Y27/VLOOKUP($E$3,Parámetros!$O$4:$Y$6,11,FALSE))^4/3),IF(AND(VLOOKUP($E$3,Parámetros!$O$4:$Y$6,11,FALSE)&lt;=Y27,Y27&lt;50)=TRUE,PRODUCT(PI()^2,VLOOKUP($E$3,Parámetros!$O$4:$Y$6,3,FALSE),R27,POWER(2.5*Y27^2,-1))," ")))</f>
        <v xml:space="preserve"> </v>
      </c>
      <c r="X27" s="104">
        <f>PRODUCT(PI()^2,VLOOKUP($E$3,Parámetros!$O$4:$Y$6,3,FALSE),S27,POWER($I$10*$E$8,-1))</f>
        <v>12035489.086908419</v>
      </c>
      <c r="Y27" s="89">
        <f t="shared" si="2"/>
        <v>150</v>
      </c>
      <c r="Z27" s="103" t="str">
        <f>IF(Y27&lt;10,"Columna Corta",IF(AND(10&lt;=Y27,Y27&lt;VLOOKUP($E$3,Parámetros!$O$4:$Y$6,10,FALSE))=TRUE,"Columna Intermedia",IF(AND(VLOOKUP($E$3,Parámetros!$O$4:$Y$6,10,FALSE)&lt;=Y27,Y27&lt;50)=TRUE,"Columna Larga","Elemento Esbelto")))</f>
        <v>Elemento Esbelto</v>
      </c>
      <c r="AA27" s="81" t="str">
        <f>IF(Y27&lt;10,"Columna Corta",IF(AND(10&lt;=Y27,Y27&lt;VLOOKUP($E$3,Parámetros!$O$4:$Y$6,11,FALSE))=TRUE,"Columna Intermedia",IF(AND(VLOOKUP($E$3,Parámetros!$O$4:$Y$6,11,FALSE)&lt;=Y27,Y27&lt;50)=TRUE,"Columna Larga","Elemento Esbelto")))</f>
        <v>Elemento Esbelto</v>
      </c>
    </row>
    <row r="28" spans="1:27" x14ac:dyDescent="0.2">
      <c r="P28" s="89">
        <v>2</v>
      </c>
      <c r="Q28" s="89">
        <v>2</v>
      </c>
      <c r="R28" s="89">
        <f t="shared" si="3"/>
        <v>4</v>
      </c>
      <c r="S28" s="89">
        <f t="shared" si="0"/>
        <v>1.3333333333333333</v>
      </c>
      <c r="T28" s="89">
        <f t="shared" si="1"/>
        <v>1.3333333333333333</v>
      </c>
      <c r="U28" s="89">
        <f>PRODUCT(R28,VLOOKUP($E$3,Parámetros!$O$4:$W$6,8,FALSE))</f>
        <v>300</v>
      </c>
      <c r="V28" s="104" t="str">
        <f>IF(Y28&lt;10,PRODUCT(R28,VLOOKUP($E$3,Parámetros!$O$4:$Y$6,5,FALSE)),IF(AND(10&lt;=Y28,Y28&lt;VLOOKUP($E$3,Parámetros!$O$4:$Y$6,10,FALSE))=TRUE,PRODUCT(VLOOKUP($E$3,Parámetros!$O$4:$Y$6,5,FALSE),R28,1-(Y28/VLOOKUP($E$3,Parámetros!$O$4:$Y$6,10,FALSE))^4/3),IF(AND(VLOOKUP($E$3,Parámetros!$O$4:$Y$6,10,FALSE)&lt;=Y28,Y28&lt;50)=TRUE,PRODUCT(PI()^2,VLOOKUP($E$3,Parámetros!$O$4:$Y$6,3,FALSE),R28,POWER(2.5*Y28^2,-1))," ")))</f>
        <v xml:space="preserve"> </v>
      </c>
      <c r="W28" s="89" t="str">
        <f>IF(Y28&lt;10,PRODUCT(R28,VLOOKUP($E$3,Parámetros!$O$4:$Y$6,5,FALSE)),IF(AND(10&lt;=Y28,Y28&lt;VLOOKUP($E$3,Parámetros!$O$4:$Y$6,11,FALSE))=TRUE,PRODUCT(VLOOKUP($E$3,Parámetros!$O$4:$Y$6,5,FALSE),R28,1-(Y28/VLOOKUP($E$3,Parámetros!$O$4:$Y$6,11,FALSE))^4/3),IF(AND(VLOOKUP($E$3,Parámetros!$O$4:$Y$6,11,FALSE)&lt;=Y28,Y28&lt;50)=TRUE,PRODUCT(PI()^2,VLOOKUP($E$3,Parámetros!$O$4:$Y$6,3,FALSE),R28,POWER(2.5*Y28^2,-1))," ")))</f>
        <v xml:space="preserve"> </v>
      </c>
      <c r="X28" s="104">
        <f>PRODUCT(PI()^2,VLOOKUP($E$3,Parámetros!$O$4:$Y$6,3,FALSE),S28,POWER($I$10*$E$8,-1))</f>
        <v>5263.7890139143237</v>
      </c>
      <c r="Y28" s="89">
        <f t="shared" si="2"/>
        <v>112.5</v>
      </c>
      <c r="Z28" s="103" t="str">
        <f>IF(Y28&lt;10,"Columna Corta",IF(AND(10&lt;=Y28,Y28&lt;VLOOKUP($E$3,Parámetros!$O$4:$Y$6,10,FALSE))=TRUE,"Columna Intermedia",IF(AND(VLOOKUP($E$3,Parámetros!$O$4:$Y$6,10,FALSE)&lt;=Y28,Y28&lt;50)=TRUE,"Columna Larga","Elemento Esbelto")))</f>
        <v>Elemento Esbelto</v>
      </c>
      <c r="AA28" s="81" t="str">
        <f>IF(Y28&lt;10,"Columna Corta",IF(AND(10&lt;=Y28,Y28&lt;VLOOKUP($E$3,Parámetros!$O$4:$Y$6,11,FALSE))=TRUE,"Columna Intermedia",IF(AND(VLOOKUP($E$3,Parámetros!$O$4:$Y$6,11,FALSE)&lt;=Y28,Y28&lt;50)=TRUE,"Columna Larga","Elemento Esbelto")))</f>
        <v>Elemento Esbelto</v>
      </c>
    </row>
    <row r="29" spans="1:27" x14ac:dyDescent="0.2">
      <c r="P29" s="89">
        <v>2</v>
      </c>
      <c r="Q29" s="89">
        <v>4</v>
      </c>
      <c r="R29" s="89">
        <f t="shared" si="3"/>
        <v>8</v>
      </c>
      <c r="S29" s="89">
        <f t="shared" si="0"/>
        <v>10.666666666666666</v>
      </c>
      <c r="T29" s="89">
        <f t="shared" si="1"/>
        <v>5.333333333333333</v>
      </c>
      <c r="U29" s="89">
        <f>PRODUCT(R29,VLOOKUP($E$3,Parámetros!$O$4:$W$6,8,FALSE))</f>
        <v>600</v>
      </c>
      <c r="V29" s="104" t="str">
        <f>IF(Y29&lt;10,PRODUCT(R29,VLOOKUP($E$3,Parámetros!$O$4:$Y$6,5,FALSE)),IF(AND(10&lt;=Y29,Y29&lt;VLOOKUP($E$3,Parámetros!$O$4:$Y$6,10,FALSE))=TRUE,PRODUCT(VLOOKUP($E$3,Parámetros!$O$4:$Y$6,5,FALSE),R29,1-(Y29/VLOOKUP($E$3,Parámetros!$O$4:$Y$6,10,FALSE))^4/3),IF(AND(VLOOKUP($E$3,Parámetros!$O$4:$Y$6,10,FALSE)&lt;=Y29,Y29&lt;50)=TRUE,PRODUCT(PI()^2,VLOOKUP($E$3,Parámetros!$O$4:$Y$6,3,FALSE),R29,POWER(2.5*Y29^2,-1))," ")))</f>
        <v xml:space="preserve"> </v>
      </c>
      <c r="W29" s="89" t="str">
        <f>IF(Y29&lt;10,PRODUCT(R29,VLOOKUP($E$3,Parámetros!$O$4:$Y$6,5,FALSE)),IF(AND(10&lt;=Y29,Y29&lt;VLOOKUP($E$3,Parámetros!$O$4:$Y$6,11,FALSE))=TRUE,PRODUCT(VLOOKUP($E$3,Parámetros!$O$4:$Y$6,5,FALSE),R29,1-(Y29/VLOOKUP($E$3,Parámetros!$O$4:$Y$6,11,FALSE))^4/3),IF(AND(VLOOKUP($E$3,Parámetros!$O$4:$Y$6,11,FALSE)&lt;=Y29,Y29&lt;50)=TRUE,PRODUCT(PI()^2,VLOOKUP($E$3,Parámetros!$O$4:$Y$6,3,FALSE),R29,POWER(2.5*Y29^2,-1))," ")))</f>
        <v xml:space="preserve"> </v>
      </c>
      <c r="X29" s="104">
        <f>PRODUCT(PI()^2,VLOOKUP($E$3,Parámetros!$O$4:$Y$6,3,FALSE),S29,POWER($I$10*$E$8,-1))</f>
        <v>42110.31211131459</v>
      </c>
      <c r="Y29" s="89">
        <f t="shared" si="2"/>
        <v>112.5</v>
      </c>
      <c r="Z29" s="103" t="str">
        <f>IF(Y29&lt;10,"Columna Corta",IF(AND(10&lt;=Y29,Y29&lt;VLOOKUP($E$3,Parámetros!$O$4:$Y$6,10,FALSE))=TRUE,"Columna Intermedia",IF(AND(VLOOKUP($E$3,Parámetros!$O$4:$Y$6,10,FALSE)&lt;=Y29,Y29&lt;50)=TRUE,"Columna Larga","Elemento Esbelto")))</f>
        <v>Elemento Esbelto</v>
      </c>
      <c r="AA29" s="81" t="str">
        <f>IF(Y29&lt;10,"Columna Corta",IF(AND(10&lt;=Y29,Y29&lt;VLOOKUP($E$3,Parámetros!$O$4:$Y$6,11,FALSE))=TRUE,"Columna Intermedia",IF(AND(VLOOKUP($E$3,Parámetros!$O$4:$Y$6,11,FALSE)&lt;=Y29,Y29&lt;50)=TRUE,"Columna Larga","Elemento Esbelto")))</f>
        <v>Elemento Esbelto</v>
      </c>
    </row>
    <row r="30" spans="1:27" x14ac:dyDescent="0.2">
      <c r="P30" s="89">
        <v>2</v>
      </c>
      <c r="Q30" s="89">
        <v>6.5</v>
      </c>
      <c r="R30" s="89">
        <f t="shared" si="3"/>
        <v>13</v>
      </c>
      <c r="S30" s="89">
        <f t="shared" si="0"/>
        <v>45.770833333333329</v>
      </c>
      <c r="T30" s="89">
        <f t="shared" si="1"/>
        <v>14.083333333333332</v>
      </c>
      <c r="U30" s="89">
        <f>PRODUCT(R30,VLOOKUP($E$3,Parámetros!$O$4:$W$6,8,FALSE))</f>
        <v>975</v>
      </c>
      <c r="V30" s="104" t="str">
        <f>IF(Y30&lt;10,PRODUCT(R30,VLOOKUP($E$3,Parámetros!$O$4:$Y$6,5,FALSE)),IF(AND(10&lt;=Y30,Y30&lt;VLOOKUP($E$3,Parámetros!$O$4:$Y$6,10,FALSE))=TRUE,PRODUCT(VLOOKUP($E$3,Parámetros!$O$4:$Y$6,5,FALSE),R30,1-(Y30/VLOOKUP($E$3,Parámetros!$O$4:$Y$6,10,FALSE))^4/3),IF(AND(VLOOKUP($E$3,Parámetros!$O$4:$Y$6,10,FALSE)&lt;=Y30,Y30&lt;50)=TRUE,PRODUCT(PI()^2,VLOOKUP($E$3,Parámetros!$O$4:$Y$6,3,FALSE),R30,POWER(2.5*Y30^2,-1))," ")))</f>
        <v xml:space="preserve"> </v>
      </c>
      <c r="W30" s="89" t="str">
        <f>IF(Y30&lt;10,PRODUCT(R30,VLOOKUP($E$3,Parámetros!$O$4:$Y$6,5,FALSE)),IF(AND(10&lt;=Y30,Y30&lt;VLOOKUP($E$3,Parámetros!$O$4:$Y$6,11,FALSE))=TRUE,PRODUCT(VLOOKUP($E$3,Parámetros!$O$4:$Y$6,5,FALSE),R30,1-(Y30/VLOOKUP($E$3,Parámetros!$O$4:$Y$6,11,FALSE))^4/3),IF(AND(VLOOKUP($E$3,Parámetros!$O$4:$Y$6,11,FALSE)&lt;=Y30,Y30&lt;50)=TRUE,PRODUCT(PI()^2,VLOOKUP($E$3,Parámetros!$O$4:$Y$6,3,FALSE),R30,POWER(2.5*Y30^2,-1))," ")))</f>
        <v xml:space="preserve"> </v>
      </c>
      <c r="X30" s="104">
        <f>PRODUCT(PI()^2,VLOOKUP($E$3,Parámetros!$O$4:$Y$6,3,FALSE),S30,POWER($I$10*$E$8,-1))</f>
        <v>180696.00724327765</v>
      </c>
      <c r="Y30" s="89">
        <f t="shared" si="2"/>
        <v>112.5</v>
      </c>
      <c r="Z30" s="103" t="str">
        <f>IF(Y30&lt;10,"Columna Corta",IF(AND(10&lt;=Y30,Y30&lt;VLOOKUP($E$3,Parámetros!$O$4:$Y$6,10,FALSE))=TRUE,"Columna Intermedia",IF(AND(VLOOKUP($E$3,Parámetros!$O$4:$Y$6,10,FALSE)&lt;=Y30,Y30&lt;50)=TRUE,"Columna Larga","Elemento Esbelto")))</f>
        <v>Elemento Esbelto</v>
      </c>
      <c r="AA30" s="81" t="str">
        <f>IF(Y30&lt;10,"Columna Corta",IF(AND(10&lt;=Y30,Y30&lt;VLOOKUP($E$3,Parámetros!$O$4:$Y$6,11,FALSE))=TRUE,"Columna Intermedia",IF(AND(VLOOKUP($E$3,Parámetros!$O$4:$Y$6,11,FALSE)&lt;=Y30,Y30&lt;50)=TRUE,"Columna Larga","Elemento Esbelto")))</f>
        <v>Elemento Esbelto</v>
      </c>
    </row>
    <row r="31" spans="1:27" x14ac:dyDescent="0.2">
      <c r="P31" s="89">
        <v>2</v>
      </c>
      <c r="Q31" s="89">
        <v>9</v>
      </c>
      <c r="R31" s="89">
        <f t="shared" si="3"/>
        <v>18</v>
      </c>
      <c r="S31" s="89">
        <f t="shared" si="0"/>
        <v>121.5</v>
      </c>
      <c r="T31" s="89">
        <f t="shared" si="1"/>
        <v>27</v>
      </c>
      <c r="U31" s="89">
        <f>PRODUCT(R31,VLOOKUP($E$3,Parámetros!$O$4:$W$6,8,FALSE))</f>
        <v>1350</v>
      </c>
      <c r="V31" s="104" t="str">
        <f>IF(Y31&lt;10,PRODUCT(R31,VLOOKUP($E$3,Parámetros!$O$4:$Y$6,5,FALSE)),IF(AND(10&lt;=Y31,Y31&lt;VLOOKUP($E$3,Parámetros!$O$4:$Y$6,10,FALSE))=TRUE,PRODUCT(VLOOKUP($E$3,Parámetros!$O$4:$Y$6,5,FALSE),R31,1-(Y31/VLOOKUP($E$3,Parámetros!$O$4:$Y$6,10,FALSE))^4/3),IF(AND(VLOOKUP($E$3,Parámetros!$O$4:$Y$6,10,FALSE)&lt;=Y31,Y31&lt;50)=TRUE,PRODUCT(PI()^2,VLOOKUP($E$3,Parámetros!$O$4:$Y$6,3,FALSE),R31,POWER(2.5*Y31^2,-1))," ")))</f>
        <v xml:space="preserve"> </v>
      </c>
      <c r="W31" s="89" t="str">
        <f>IF(Y31&lt;10,PRODUCT(R31,VLOOKUP($E$3,Parámetros!$O$4:$Y$6,5,FALSE)),IF(AND(10&lt;=Y31,Y31&lt;VLOOKUP($E$3,Parámetros!$O$4:$Y$6,11,FALSE))=TRUE,PRODUCT(VLOOKUP($E$3,Parámetros!$O$4:$Y$6,5,FALSE),R31,1-(Y31/VLOOKUP($E$3,Parámetros!$O$4:$Y$6,11,FALSE))^4/3),IF(AND(VLOOKUP($E$3,Parámetros!$O$4:$Y$6,11,FALSE)&lt;=Y31,Y31&lt;50)=TRUE,PRODUCT(PI()^2,VLOOKUP($E$3,Parámetros!$O$4:$Y$6,3,FALSE),R31,POWER(2.5*Y31^2,-1))," ")))</f>
        <v xml:space="preserve"> </v>
      </c>
      <c r="X31" s="104">
        <f>PRODUCT(PI()^2,VLOOKUP($E$3,Parámetros!$O$4:$Y$6,3,FALSE),S31,POWER($I$10*$E$8,-1))</f>
        <v>479662.77389294282</v>
      </c>
      <c r="Y31" s="89">
        <f t="shared" si="2"/>
        <v>112.5</v>
      </c>
      <c r="Z31" s="103" t="str">
        <f>IF(Y31&lt;10,"Columna Corta",IF(AND(10&lt;=Y31,Y31&lt;VLOOKUP($E$3,Parámetros!$O$4:$Y$6,10,FALSE))=TRUE,"Columna Intermedia",IF(AND(VLOOKUP($E$3,Parámetros!$O$4:$Y$6,10,FALSE)&lt;=Y31,Y31&lt;50)=TRUE,"Columna Larga","Elemento Esbelto")))</f>
        <v>Elemento Esbelto</v>
      </c>
      <c r="AA31" s="81" t="str">
        <f>IF(Y31&lt;10,"Columna Corta",IF(AND(10&lt;=Y31,Y31&lt;VLOOKUP($E$3,Parámetros!$O$4:$Y$6,11,FALSE))=TRUE,"Columna Intermedia",IF(AND(VLOOKUP($E$3,Parámetros!$O$4:$Y$6,11,FALSE)&lt;=Y31,Y31&lt;50)=TRUE,"Columna Larga","Elemento Esbelto")))</f>
        <v>Elemento Esbelto</v>
      </c>
    </row>
    <row r="32" spans="1:27" x14ac:dyDescent="0.2">
      <c r="P32" s="89">
        <v>2</v>
      </c>
      <c r="Q32" s="89">
        <v>14</v>
      </c>
      <c r="R32" s="89">
        <f t="shared" si="3"/>
        <v>28</v>
      </c>
      <c r="S32" s="89">
        <f t="shared" si="0"/>
        <v>457.33333333333331</v>
      </c>
      <c r="T32" s="89">
        <f t="shared" si="1"/>
        <v>65.333333333333329</v>
      </c>
      <c r="U32" s="89">
        <f>PRODUCT(R32,VLOOKUP($E$3,Parámetros!$O$4:$W$6,8,FALSE))</f>
        <v>2100</v>
      </c>
      <c r="V32" s="104" t="str">
        <f>IF(Y32&lt;10,PRODUCT(R32,VLOOKUP($E$3,Parámetros!$O$4:$Y$6,5,FALSE)),IF(AND(10&lt;=Y32,Y32&lt;VLOOKUP($E$3,Parámetros!$O$4:$Y$6,10,FALSE))=TRUE,PRODUCT(VLOOKUP($E$3,Parámetros!$O$4:$Y$6,5,FALSE),R32,1-(Y32/VLOOKUP($E$3,Parámetros!$O$4:$Y$6,10,FALSE))^4/3),IF(AND(VLOOKUP($E$3,Parámetros!$O$4:$Y$6,10,FALSE)&lt;=Y32,Y32&lt;50)=TRUE,PRODUCT(PI()^2,VLOOKUP($E$3,Parámetros!$O$4:$Y$6,3,FALSE),R32,POWER(2.5*Y32^2,-1))," ")))</f>
        <v xml:space="preserve"> </v>
      </c>
      <c r="W32" s="89" t="str">
        <f>IF(Y32&lt;10,PRODUCT(R32,VLOOKUP($E$3,Parámetros!$O$4:$Y$6,5,FALSE)),IF(AND(10&lt;=Y32,Y32&lt;VLOOKUP($E$3,Parámetros!$O$4:$Y$6,11,FALSE))=TRUE,PRODUCT(VLOOKUP($E$3,Parámetros!$O$4:$Y$6,5,FALSE),R32,1-(Y32/VLOOKUP($E$3,Parámetros!$O$4:$Y$6,11,FALSE))^4/3),IF(AND(VLOOKUP($E$3,Parámetros!$O$4:$Y$6,11,FALSE)&lt;=Y32,Y32&lt;50)=TRUE,PRODUCT(PI()^2,VLOOKUP($E$3,Parámetros!$O$4:$Y$6,3,FALSE),R32,POWER(2.5*Y32^2,-1))," ")))</f>
        <v xml:space="preserve"> </v>
      </c>
      <c r="X32" s="104">
        <f>PRODUCT(PI()^2,VLOOKUP($E$3,Parámetros!$O$4:$Y$6,3,FALSE),S32,POWER($I$10*$E$8,-1))</f>
        <v>1805479.6317726132</v>
      </c>
      <c r="Y32" s="89">
        <f t="shared" si="2"/>
        <v>112.5</v>
      </c>
      <c r="Z32" s="103" t="str">
        <f>IF(Y32&lt;10,"Columna Corta",IF(AND(10&lt;=Y32,Y32&lt;VLOOKUP($E$3,Parámetros!$O$4:$Y$6,10,FALSE))=TRUE,"Columna Intermedia",IF(AND(VLOOKUP($E$3,Parámetros!$O$4:$Y$6,10,FALSE)&lt;=Y32,Y32&lt;50)=TRUE,"Columna Larga","Elemento Esbelto")))</f>
        <v>Elemento Esbelto</v>
      </c>
      <c r="AA32" s="81" t="str">
        <f>IF(Y32&lt;10,"Columna Corta",IF(AND(10&lt;=Y32,Y32&lt;VLOOKUP($E$3,Parámetros!$O$4:$Y$6,11,FALSE))=TRUE,"Columna Intermedia",IF(AND(VLOOKUP($E$3,Parámetros!$O$4:$Y$6,11,FALSE)&lt;=Y32,Y32&lt;50)=TRUE,"Columna Larga","Elemento Esbelto")))</f>
        <v>Elemento Esbelto</v>
      </c>
    </row>
    <row r="33" spans="16:27" x14ac:dyDescent="0.2">
      <c r="P33" s="89">
        <v>2</v>
      </c>
      <c r="Q33" s="89">
        <v>19</v>
      </c>
      <c r="R33" s="89">
        <f t="shared" si="3"/>
        <v>38</v>
      </c>
      <c r="S33" s="89">
        <f t="shared" si="0"/>
        <v>1143.1666666666665</v>
      </c>
      <c r="T33" s="89">
        <f t="shared" si="1"/>
        <v>120.33333333333333</v>
      </c>
      <c r="U33" s="89">
        <f>PRODUCT(R33,VLOOKUP($E$3,Parámetros!$O$4:$W$6,8,FALSE))</f>
        <v>2850</v>
      </c>
      <c r="V33" s="104" t="str">
        <f>IF(Y33&lt;10,PRODUCT(R33,VLOOKUP($E$3,Parámetros!$O$4:$Y$6,5,FALSE)),IF(AND(10&lt;=Y33,Y33&lt;VLOOKUP($E$3,Parámetros!$O$4:$Y$6,10,FALSE))=TRUE,PRODUCT(VLOOKUP($E$3,Parámetros!$O$4:$Y$6,5,FALSE),R33,1-(Y33/VLOOKUP($E$3,Parámetros!$O$4:$Y$6,10,FALSE))^4/3),IF(AND(VLOOKUP($E$3,Parámetros!$O$4:$Y$6,10,FALSE)&lt;=Y33,Y33&lt;50)=TRUE,PRODUCT(PI()^2,VLOOKUP($E$3,Parámetros!$O$4:$Y$6,3,FALSE),R33,POWER(2.5*Y33^2,-1))," ")))</f>
        <v xml:space="preserve"> </v>
      </c>
      <c r="W33" s="89" t="str">
        <f>IF(Y33&lt;10,PRODUCT(R33,VLOOKUP($E$3,Parámetros!$O$4:$Y$6,5,FALSE)),IF(AND(10&lt;=Y33,Y33&lt;VLOOKUP($E$3,Parámetros!$O$4:$Y$6,11,FALSE))=TRUE,PRODUCT(VLOOKUP($E$3,Parámetros!$O$4:$Y$6,5,FALSE),R33,1-(Y33/VLOOKUP($E$3,Parámetros!$O$4:$Y$6,11,FALSE))^4/3),IF(AND(VLOOKUP($E$3,Parámetros!$O$4:$Y$6,11,FALSE)&lt;=Y33,Y33&lt;50)=TRUE,PRODUCT(PI()^2,VLOOKUP($E$3,Parámetros!$O$4:$Y$6,3,FALSE),R33,POWER(2.5*Y33^2,-1))," ")))</f>
        <v xml:space="preserve"> </v>
      </c>
      <c r="X33" s="104">
        <f>PRODUCT(PI()^2,VLOOKUP($E$3,Parámetros!$O$4:$Y$6,3,FALSE),S33,POWER($I$10*$E$8,-1))</f>
        <v>4513041.1058047935</v>
      </c>
      <c r="Y33" s="89">
        <f t="shared" si="2"/>
        <v>112.5</v>
      </c>
      <c r="Z33" s="103" t="str">
        <f>IF(Y33&lt;10,"Columna Corta",IF(AND(10&lt;=Y33,Y33&lt;VLOOKUP($E$3,Parámetros!$O$4:$Y$6,10,FALSE))=TRUE,"Columna Intermedia",IF(AND(VLOOKUP($E$3,Parámetros!$O$4:$Y$6,10,FALSE)&lt;=Y33,Y33&lt;50)=TRUE,"Columna Larga","Elemento Esbelto")))</f>
        <v>Elemento Esbelto</v>
      </c>
      <c r="AA33" s="81" t="str">
        <f>IF(Y33&lt;10,"Columna Corta",IF(AND(10&lt;=Y33,Y33&lt;VLOOKUP($E$3,Parámetros!$O$4:$Y$6,11,FALSE))=TRUE,"Columna Intermedia",IF(AND(VLOOKUP($E$3,Parámetros!$O$4:$Y$6,11,FALSE)&lt;=Y33,Y33&lt;50)=TRUE,"Columna Larga","Elemento Esbelto")))</f>
        <v>Elemento Esbelto</v>
      </c>
    </row>
    <row r="34" spans="16:27" x14ac:dyDescent="0.2">
      <c r="P34" s="89">
        <v>2</v>
      </c>
      <c r="Q34" s="89">
        <v>24</v>
      </c>
      <c r="R34" s="89">
        <f t="shared" si="3"/>
        <v>48</v>
      </c>
      <c r="S34" s="89">
        <f t="shared" si="0"/>
        <v>2304</v>
      </c>
      <c r="T34" s="89">
        <f t="shared" si="1"/>
        <v>192</v>
      </c>
      <c r="U34" s="89">
        <f>PRODUCT(R34,VLOOKUP($E$3,Parámetros!$O$4:$W$6,8,FALSE))</f>
        <v>3600</v>
      </c>
      <c r="V34" s="104" t="str">
        <f>IF(Y34&lt;10,PRODUCT(R34,VLOOKUP($E$3,Parámetros!$O$4:$Y$6,5,FALSE)),IF(AND(10&lt;=Y34,Y34&lt;VLOOKUP($E$3,Parámetros!$O$4:$Y$6,10,FALSE))=TRUE,PRODUCT(VLOOKUP($E$3,Parámetros!$O$4:$Y$6,5,FALSE),R34,1-(Y34/VLOOKUP($E$3,Parámetros!$O$4:$Y$6,10,FALSE))^4/3),IF(AND(VLOOKUP($E$3,Parámetros!$O$4:$Y$6,10,FALSE)&lt;=Y34,Y34&lt;50)=TRUE,PRODUCT(PI()^2,VLOOKUP($E$3,Parámetros!$O$4:$Y$6,3,FALSE),R34,POWER(2.5*Y34^2,-1))," ")))</f>
        <v xml:space="preserve"> </v>
      </c>
      <c r="W34" s="89" t="str">
        <f>IF(Y34&lt;10,PRODUCT(R34,VLOOKUP($E$3,Parámetros!$O$4:$Y$6,5,FALSE)),IF(AND(10&lt;=Y34,Y34&lt;VLOOKUP($E$3,Parámetros!$O$4:$Y$6,11,FALSE))=TRUE,PRODUCT(VLOOKUP($E$3,Parámetros!$O$4:$Y$6,5,FALSE),R34,1-(Y34/VLOOKUP($E$3,Parámetros!$O$4:$Y$6,11,FALSE))^4/3),IF(AND(VLOOKUP($E$3,Parámetros!$O$4:$Y$6,11,FALSE)&lt;=Y34,Y34&lt;50)=TRUE,PRODUCT(PI()^2,VLOOKUP($E$3,Parámetros!$O$4:$Y$6,3,FALSE),R34,POWER(2.5*Y34^2,-1))," ")))</f>
        <v xml:space="preserve"> </v>
      </c>
      <c r="X34" s="104">
        <f>PRODUCT(PI()^2,VLOOKUP($E$3,Parámetros!$O$4:$Y$6,3,FALSE),S34,POWER($I$10*$E$8,-1))</f>
        <v>9095827.4160439521</v>
      </c>
      <c r="Y34" s="89">
        <f t="shared" si="2"/>
        <v>112.5</v>
      </c>
      <c r="Z34" s="103" t="str">
        <f>IF(Y34&lt;10,"Columna Corta",IF(AND(10&lt;=Y34,Y34&lt;VLOOKUP($E$3,Parámetros!$O$4:$Y$6,10,FALSE))=TRUE,"Columna Intermedia",IF(AND(VLOOKUP($E$3,Parámetros!$O$4:$Y$6,10,FALSE)&lt;=Y34,Y34&lt;50)=TRUE,"Columna Larga","Elemento Esbelto")))</f>
        <v>Elemento Esbelto</v>
      </c>
      <c r="AA34" s="81" t="str">
        <f>IF(Y34&lt;10,"Columna Corta",IF(AND(10&lt;=Y34,Y34&lt;VLOOKUP($E$3,Parámetros!$O$4:$Y$6,11,FALSE))=TRUE,"Columna Intermedia",IF(AND(VLOOKUP($E$3,Parámetros!$O$4:$Y$6,11,FALSE)&lt;=Y34,Y34&lt;50)=TRUE,"Columna Larga","Elemento Esbelto")))</f>
        <v>Elemento Esbelto</v>
      </c>
    </row>
    <row r="35" spans="16:27" x14ac:dyDescent="0.2">
      <c r="P35" s="89">
        <v>2</v>
      </c>
      <c r="Q35" s="89">
        <v>29</v>
      </c>
      <c r="R35" s="89">
        <f t="shared" si="3"/>
        <v>58</v>
      </c>
      <c r="S35" s="89">
        <f t="shared" si="0"/>
        <v>4064.833333333333</v>
      </c>
      <c r="T35" s="89">
        <f t="shared" si="1"/>
        <v>280.33333333333331</v>
      </c>
      <c r="U35" s="89">
        <f>PRODUCT(R35,VLOOKUP($E$3,Parámetros!$O$4:$W$6,8,FALSE))</f>
        <v>4350</v>
      </c>
      <c r="V35" s="104" t="str">
        <f>IF(Y35&lt;10,PRODUCT(R35,VLOOKUP($E$3,Parámetros!$O$4:$Y$6,5,FALSE)),IF(AND(10&lt;=Y35,Y35&lt;VLOOKUP($E$3,Parámetros!$O$4:$Y$6,10,FALSE))=TRUE,PRODUCT(VLOOKUP($E$3,Parámetros!$O$4:$Y$6,5,FALSE),R35,1-(Y35/VLOOKUP($E$3,Parámetros!$O$4:$Y$6,10,FALSE))^4/3),IF(AND(VLOOKUP($E$3,Parámetros!$O$4:$Y$6,10,FALSE)&lt;=Y35,Y35&lt;50)=TRUE,PRODUCT(PI()^2,VLOOKUP($E$3,Parámetros!$O$4:$Y$6,3,FALSE),R35,POWER(2.5*Y35^2,-1))," ")))</f>
        <v xml:space="preserve"> </v>
      </c>
      <c r="W35" s="89" t="str">
        <f>IF(Y35&lt;10,PRODUCT(R35,VLOOKUP($E$3,Parámetros!$O$4:$Y$6,5,FALSE)),IF(AND(10&lt;=Y35,Y35&lt;VLOOKUP($E$3,Parámetros!$O$4:$Y$6,11,FALSE))=TRUE,PRODUCT(VLOOKUP($E$3,Parámetros!$O$4:$Y$6,5,FALSE),R35,1-(Y35/VLOOKUP($E$3,Parámetros!$O$4:$Y$6,11,FALSE))^4/3),IF(AND(VLOOKUP($E$3,Parámetros!$O$4:$Y$6,11,FALSE)&lt;=Y35,Y35&lt;50)=TRUE,PRODUCT(PI()^2,VLOOKUP($E$3,Parámetros!$O$4:$Y$6,3,FALSE),R35,POWER(2.5*Y35^2,-1))," ")))</f>
        <v xml:space="preserve"> </v>
      </c>
      <c r="X35" s="104">
        <f>PRODUCT(PI()^2,VLOOKUP($E$3,Parámetros!$O$4:$Y$6,3,FALSE),S35,POWER($I$10*$E$8,-1))</f>
        <v>16047318.782544555</v>
      </c>
      <c r="Y35" s="89">
        <f t="shared" si="2"/>
        <v>112.5</v>
      </c>
      <c r="Z35" s="103" t="str">
        <f>IF(Y35&lt;10,"Columna Corta",IF(AND(10&lt;=Y35,Y35&lt;VLOOKUP($E$3,Parámetros!$O$4:$Y$6,10,FALSE))=TRUE,"Columna Intermedia",IF(AND(VLOOKUP($E$3,Parámetros!$O$4:$Y$6,10,FALSE)&lt;=Y35,Y35&lt;50)=TRUE,"Columna Larga","Elemento Esbelto")))</f>
        <v>Elemento Esbelto</v>
      </c>
      <c r="AA35" s="81" t="str">
        <f>IF(Y35&lt;10,"Columna Corta",IF(AND(10&lt;=Y35,Y35&lt;VLOOKUP($E$3,Parámetros!$O$4:$Y$6,11,FALSE))=TRUE,"Columna Intermedia",IF(AND(VLOOKUP($E$3,Parámetros!$O$4:$Y$6,11,FALSE)&lt;=Y35,Y35&lt;50)=TRUE,"Columna Larga","Elemento Esbelto")))</f>
        <v>Elemento Esbelto</v>
      </c>
    </row>
    <row r="36" spans="16:27" x14ac:dyDescent="0.2">
      <c r="P36" s="89">
        <v>3</v>
      </c>
      <c r="Q36" s="89">
        <v>3</v>
      </c>
      <c r="R36" s="89">
        <f t="shared" si="3"/>
        <v>9</v>
      </c>
      <c r="S36" s="89">
        <f t="shared" si="0"/>
        <v>6.75</v>
      </c>
      <c r="T36" s="89">
        <f t="shared" si="1"/>
        <v>4.5</v>
      </c>
      <c r="U36" s="89">
        <f>PRODUCT(R36,VLOOKUP($E$3,Parámetros!$O$4:$W$6,8,FALSE))</f>
        <v>675</v>
      </c>
      <c r="V36" s="104" t="str">
        <f>IF(Y36&lt;10,PRODUCT(R36,VLOOKUP($E$3,Parámetros!$O$4:$Y$6,5,FALSE)),IF(AND(10&lt;=Y36,Y36&lt;VLOOKUP($E$3,Parámetros!$O$4:$Y$6,10,FALSE))=TRUE,PRODUCT(VLOOKUP($E$3,Parámetros!$O$4:$Y$6,5,FALSE),R36,1-(Y36/VLOOKUP($E$3,Parámetros!$O$4:$Y$6,10,FALSE))^4/3),IF(AND(VLOOKUP($E$3,Parámetros!$O$4:$Y$6,10,FALSE)&lt;=Y36,Y36&lt;50)=TRUE,PRODUCT(PI()^2,VLOOKUP($E$3,Parámetros!$O$4:$Y$6,3,FALSE),R36,POWER(2.5*Y36^2,-1))," ")))</f>
        <v xml:space="preserve"> </v>
      </c>
      <c r="W36" s="89" t="str">
        <f>IF(Y36&lt;10,PRODUCT(R36,VLOOKUP($E$3,Parámetros!$O$4:$Y$6,5,FALSE)),IF(AND(10&lt;=Y36,Y36&lt;VLOOKUP($E$3,Parámetros!$O$4:$Y$6,11,FALSE))=TRUE,PRODUCT(VLOOKUP($E$3,Parámetros!$O$4:$Y$6,5,FALSE),R36,1-(Y36/VLOOKUP($E$3,Parámetros!$O$4:$Y$6,11,FALSE))^4/3),IF(AND(VLOOKUP($E$3,Parámetros!$O$4:$Y$6,11,FALSE)&lt;=Y36,Y36&lt;50)=TRUE,PRODUCT(PI()^2,VLOOKUP($E$3,Parámetros!$O$4:$Y$6,3,FALSE),R36,POWER(2.5*Y36^2,-1))," ")))</f>
        <v xml:space="preserve"> </v>
      </c>
      <c r="X36" s="104">
        <f>PRODUCT(PI()^2,VLOOKUP($E$3,Parámetros!$O$4:$Y$6,3,FALSE),S36,POWER($I$10*$E$8,-1))</f>
        <v>26647.931882941266</v>
      </c>
      <c r="Y36" s="89">
        <f t="shared" si="2"/>
        <v>75</v>
      </c>
      <c r="Z36" s="103" t="str">
        <f>IF(Y36&lt;10,"Columna Corta",IF(AND(10&lt;=Y36,Y36&lt;VLOOKUP($E$3,Parámetros!$O$4:$Y$6,10,FALSE))=TRUE,"Columna Intermedia",IF(AND(VLOOKUP($E$3,Parámetros!$O$4:$Y$6,10,FALSE)&lt;=Y36,Y36&lt;50)=TRUE,"Columna Larga","Elemento Esbelto")))</f>
        <v>Elemento Esbelto</v>
      </c>
      <c r="AA36" s="81" t="str">
        <f>IF(Y36&lt;10,"Columna Corta",IF(AND(10&lt;=Y36,Y36&lt;VLOOKUP($E$3,Parámetros!$O$4:$Y$6,11,FALSE))=TRUE,"Columna Intermedia",IF(AND(VLOOKUP($E$3,Parámetros!$O$4:$Y$6,11,FALSE)&lt;=Y36,Y36&lt;50)=TRUE,"Columna Larga","Elemento Esbelto")))</f>
        <v>Elemento Esbelto</v>
      </c>
    </row>
    <row r="37" spans="16:27" x14ac:dyDescent="0.2">
      <c r="P37" s="89">
        <v>3</v>
      </c>
      <c r="Q37" s="89">
        <v>4</v>
      </c>
      <c r="R37" s="89">
        <f t="shared" si="3"/>
        <v>12</v>
      </c>
      <c r="S37" s="89">
        <f t="shared" si="0"/>
        <v>16</v>
      </c>
      <c r="T37" s="89">
        <f t="shared" si="1"/>
        <v>8</v>
      </c>
      <c r="U37" s="89">
        <f>PRODUCT(R37,VLOOKUP($E$3,Parámetros!$O$4:$W$6,8,FALSE))</f>
        <v>900</v>
      </c>
      <c r="V37" s="104" t="str">
        <f>IF(Y37&lt;10,PRODUCT(R37,VLOOKUP($E$3,Parámetros!$O$4:$Y$6,5,FALSE)),IF(AND(10&lt;=Y37,Y37&lt;VLOOKUP($E$3,Parámetros!$O$4:$Y$6,10,FALSE))=TRUE,PRODUCT(VLOOKUP($E$3,Parámetros!$O$4:$Y$6,5,FALSE),R37,1-(Y37/VLOOKUP($E$3,Parámetros!$O$4:$Y$6,10,FALSE))^4/3),IF(AND(VLOOKUP($E$3,Parámetros!$O$4:$Y$6,10,FALSE)&lt;=Y37,Y37&lt;50)=TRUE,PRODUCT(PI()^2,VLOOKUP($E$3,Parámetros!$O$4:$Y$6,3,FALSE),R37,POWER(2.5*Y37^2,-1))," ")))</f>
        <v xml:space="preserve"> </v>
      </c>
      <c r="W37" s="89" t="str">
        <f>IF(Y37&lt;10,PRODUCT(R37,VLOOKUP($E$3,Parámetros!$O$4:$Y$6,5,FALSE)),IF(AND(10&lt;=Y37,Y37&lt;VLOOKUP($E$3,Parámetros!$O$4:$Y$6,11,FALSE))=TRUE,PRODUCT(VLOOKUP($E$3,Parámetros!$O$4:$Y$6,5,FALSE),R37,1-(Y37/VLOOKUP($E$3,Parámetros!$O$4:$Y$6,11,FALSE))^4/3),IF(AND(VLOOKUP($E$3,Parámetros!$O$4:$Y$6,11,FALSE)&lt;=Y37,Y37&lt;50)=TRUE,PRODUCT(PI()^2,VLOOKUP($E$3,Parámetros!$O$4:$Y$6,3,FALSE),R37,POWER(2.5*Y37^2,-1))," ")))</f>
        <v xml:space="preserve"> </v>
      </c>
      <c r="X37" s="104">
        <f>PRODUCT(PI()^2,VLOOKUP($E$3,Parámetros!$O$4:$Y$6,3,FALSE),S37,POWER($I$10*$E$8,-1))</f>
        <v>63165.468166971892</v>
      </c>
      <c r="Y37" s="89">
        <f t="shared" si="2"/>
        <v>75</v>
      </c>
      <c r="Z37" s="103" t="str">
        <f>IF(Y37&lt;10,"Columna Corta",IF(AND(10&lt;=Y37,Y37&lt;VLOOKUP($E$3,Parámetros!$O$4:$Y$6,10,FALSE))=TRUE,"Columna Intermedia",IF(AND(VLOOKUP($E$3,Parámetros!$O$4:$Y$6,10,FALSE)&lt;=Y37,Y37&lt;50)=TRUE,"Columna Larga","Elemento Esbelto")))</f>
        <v>Elemento Esbelto</v>
      </c>
      <c r="AA37" s="81" t="str">
        <f>IF(Y37&lt;10,"Columna Corta",IF(AND(10&lt;=Y37,Y37&lt;VLOOKUP($E$3,Parámetros!$O$4:$Y$6,11,FALSE))=TRUE,"Columna Intermedia",IF(AND(VLOOKUP($E$3,Parámetros!$O$4:$Y$6,11,FALSE)&lt;=Y37,Y37&lt;50)=TRUE,"Columna Larga","Elemento Esbelto")))</f>
        <v>Elemento Esbelto</v>
      </c>
    </row>
    <row r="38" spans="16:27" x14ac:dyDescent="0.2">
      <c r="P38" s="89">
        <v>3</v>
      </c>
      <c r="Q38" s="89">
        <v>6.5</v>
      </c>
      <c r="R38" s="89">
        <f t="shared" si="3"/>
        <v>19.5</v>
      </c>
      <c r="S38" s="89">
        <f t="shared" si="0"/>
        <v>68.65625</v>
      </c>
      <c r="T38" s="89">
        <f t="shared" si="1"/>
        <v>21.125</v>
      </c>
      <c r="U38" s="89">
        <f>PRODUCT(R38,VLOOKUP($E$3,Parámetros!$O$4:$W$6,8,FALSE))</f>
        <v>1462.5</v>
      </c>
      <c r="V38" s="104" t="str">
        <f>IF(Y38&lt;10,PRODUCT(R38,VLOOKUP($E$3,Parámetros!$O$4:$Y$6,5,FALSE)),IF(AND(10&lt;=Y38,Y38&lt;VLOOKUP($E$3,Parámetros!$O$4:$Y$6,10,FALSE))=TRUE,PRODUCT(VLOOKUP($E$3,Parámetros!$O$4:$Y$6,5,FALSE),R38,1-(Y38/VLOOKUP($E$3,Parámetros!$O$4:$Y$6,10,FALSE))^4/3),IF(AND(VLOOKUP($E$3,Parámetros!$O$4:$Y$6,10,FALSE)&lt;=Y38,Y38&lt;50)=TRUE,PRODUCT(PI()^2,VLOOKUP($E$3,Parámetros!$O$4:$Y$6,3,FALSE),R38,POWER(2.5*Y38^2,-1))," ")))</f>
        <v xml:space="preserve"> </v>
      </c>
      <c r="W38" s="89" t="str">
        <f>IF(Y38&lt;10,PRODUCT(R38,VLOOKUP($E$3,Parámetros!$O$4:$Y$6,5,FALSE)),IF(AND(10&lt;=Y38,Y38&lt;VLOOKUP($E$3,Parámetros!$O$4:$Y$6,11,FALSE))=TRUE,PRODUCT(VLOOKUP($E$3,Parámetros!$O$4:$Y$6,5,FALSE),R38,1-(Y38/VLOOKUP($E$3,Parámetros!$O$4:$Y$6,11,FALSE))^4/3),IF(AND(VLOOKUP($E$3,Parámetros!$O$4:$Y$6,11,FALSE)&lt;=Y38,Y38&lt;50)=TRUE,PRODUCT(PI()^2,VLOOKUP($E$3,Parámetros!$O$4:$Y$6,3,FALSE),R38,POWER(2.5*Y38^2,-1))," ")))</f>
        <v xml:space="preserve"> </v>
      </c>
      <c r="X38" s="104">
        <f>PRODUCT(PI()^2,VLOOKUP($E$3,Parámetros!$O$4:$Y$6,3,FALSE),S38,POWER($I$10*$E$8,-1))</f>
        <v>271044.01086491649</v>
      </c>
      <c r="Y38" s="89">
        <f t="shared" si="2"/>
        <v>75</v>
      </c>
      <c r="Z38" s="103" t="str">
        <f>IF(Y38&lt;10,"Columna Corta",IF(AND(10&lt;=Y38,Y38&lt;VLOOKUP($E$3,Parámetros!$O$4:$Y$6,10,FALSE))=TRUE,"Columna Intermedia",IF(AND(VLOOKUP($E$3,Parámetros!$O$4:$Y$6,10,FALSE)&lt;=Y38,Y38&lt;50)=TRUE,"Columna Larga","Elemento Esbelto")))</f>
        <v>Elemento Esbelto</v>
      </c>
      <c r="AA38" s="81" t="str">
        <f>IF(Y38&lt;10,"Columna Corta",IF(AND(10&lt;=Y38,Y38&lt;VLOOKUP($E$3,Parámetros!$O$4:$Y$6,11,FALSE))=TRUE,"Columna Intermedia",IF(AND(VLOOKUP($E$3,Parámetros!$O$4:$Y$6,11,FALSE)&lt;=Y38,Y38&lt;50)=TRUE,"Columna Larga","Elemento Esbelto")))</f>
        <v>Elemento Esbelto</v>
      </c>
    </row>
    <row r="39" spans="16:27" x14ac:dyDescent="0.2">
      <c r="P39" s="89">
        <v>3</v>
      </c>
      <c r="Q39" s="89">
        <v>9</v>
      </c>
      <c r="R39" s="89">
        <f t="shared" si="3"/>
        <v>27</v>
      </c>
      <c r="S39" s="89">
        <f t="shared" si="0"/>
        <v>182.25</v>
      </c>
      <c r="T39" s="89">
        <f t="shared" si="1"/>
        <v>40.5</v>
      </c>
      <c r="U39" s="89">
        <f>PRODUCT(R39,VLOOKUP($E$3,Parámetros!$O$4:$W$6,8,FALSE))</f>
        <v>2025</v>
      </c>
      <c r="V39" s="104" t="str">
        <f>IF(Y39&lt;10,PRODUCT(R39,VLOOKUP($E$3,Parámetros!$O$4:$Y$6,5,FALSE)),IF(AND(10&lt;=Y39,Y39&lt;VLOOKUP($E$3,Parámetros!$O$4:$Y$6,10,FALSE))=TRUE,PRODUCT(VLOOKUP($E$3,Parámetros!$O$4:$Y$6,5,FALSE),R39,1-(Y39/VLOOKUP($E$3,Parámetros!$O$4:$Y$6,10,FALSE))^4/3),IF(AND(VLOOKUP($E$3,Parámetros!$O$4:$Y$6,10,FALSE)&lt;=Y39,Y39&lt;50)=TRUE,PRODUCT(PI()^2,VLOOKUP($E$3,Parámetros!$O$4:$Y$6,3,FALSE),R39,POWER(2.5*Y39^2,-1))," ")))</f>
        <v xml:space="preserve"> </v>
      </c>
      <c r="W39" s="89" t="str">
        <f>IF(Y39&lt;10,PRODUCT(R39,VLOOKUP($E$3,Parámetros!$O$4:$Y$6,5,FALSE)),IF(AND(10&lt;=Y39,Y39&lt;VLOOKUP($E$3,Parámetros!$O$4:$Y$6,11,FALSE))=TRUE,PRODUCT(VLOOKUP($E$3,Parámetros!$O$4:$Y$6,5,FALSE),R39,1-(Y39/VLOOKUP($E$3,Parámetros!$O$4:$Y$6,11,FALSE))^4/3),IF(AND(VLOOKUP($E$3,Parámetros!$O$4:$Y$6,11,FALSE)&lt;=Y39,Y39&lt;50)=TRUE,PRODUCT(PI()^2,VLOOKUP($E$3,Parámetros!$O$4:$Y$6,3,FALSE),R39,POWER(2.5*Y39^2,-1))," ")))</f>
        <v xml:space="preserve"> </v>
      </c>
      <c r="X39" s="104">
        <f>PRODUCT(PI()^2,VLOOKUP($E$3,Parámetros!$O$4:$Y$6,3,FALSE),S39,POWER($I$10*$E$8,-1))</f>
        <v>719494.16083941422</v>
      </c>
      <c r="Y39" s="89">
        <f t="shared" si="2"/>
        <v>75</v>
      </c>
      <c r="Z39" s="103" t="str">
        <f>IF(Y39&lt;10,"Columna Corta",IF(AND(10&lt;=Y39,Y39&lt;VLOOKUP($E$3,Parámetros!$O$4:$Y$6,10,FALSE))=TRUE,"Columna Intermedia",IF(AND(VLOOKUP($E$3,Parámetros!$O$4:$Y$6,10,FALSE)&lt;=Y39,Y39&lt;50)=TRUE,"Columna Larga","Elemento Esbelto")))</f>
        <v>Elemento Esbelto</v>
      </c>
      <c r="AA39" s="81" t="str">
        <f>IF(Y39&lt;10,"Columna Corta",IF(AND(10&lt;=Y39,Y39&lt;VLOOKUP($E$3,Parámetros!$O$4:$Y$6,11,FALSE))=TRUE,"Columna Intermedia",IF(AND(VLOOKUP($E$3,Parámetros!$O$4:$Y$6,11,FALSE)&lt;=Y39,Y39&lt;50)=TRUE,"Columna Larga","Elemento Esbelto")))</f>
        <v>Elemento Esbelto</v>
      </c>
    </row>
    <row r="40" spans="16:27" x14ac:dyDescent="0.2">
      <c r="P40" s="89">
        <v>3</v>
      </c>
      <c r="Q40" s="89">
        <v>14</v>
      </c>
      <c r="R40" s="89">
        <f t="shared" si="3"/>
        <v>42</v>
      </c>
      <c r="S40" s="89">
        <f t="shared" si="0"/>
        <v>686</v>
      </c>
      <c r="T40" s="89">
        <f t="shared" si="1"/>
        <v>98</v>
      </c>
      <c r="U40" s="89">
        <f>PRODUCT(R40,VLOOKUP($E$3,Parámetros!$O$4:$W$6,8,FALSE))</f>
        <v>3150</v>
      </c>
      <c r="V40" s="104" t="str">
        <f>IF(Y40&lt;10,PRODUCT(R40,VLOOKUP($E$3,Parámetros!$O$4:$Y$6,5,FALSE)),IF(AND(10&lt;=Y40,Y40&lt;VLOOKUP($E$3,Parámetros!$O$4:$Y$6,10,FALSE))=TRUE,PRODUCT(VLOOKUP($E$3,Parámetros!$O$4:$Y$6,5,FALSE),R40,1-(Y40/VLOOKUP($E$3,Parámetros!$O$4:$Y$6,10,FALSE))^4/3),IF(AND(VLOOKUP($E$3,Parámetros!$O$4:$Y$6,10,FALSE)&lt;=Y40,Y40&lt;50)=TRUE,PRODUCT(PI()^2,VLOOKUP($E$3,Parámetros!$O$4:$Y$6,3,FALSE),R40,POWER(2.5*Y40^2,-1))," ")))</f>
        <v xml:space="preserve"> </v>
      </c>
      <c r="W40" s="89" t="str">
        <f>IF(Y40&lt;10,PRODUCT(R40,VLOOKUP($E$3,Parámetros!$O$4:$Y$6,5,FALSE)),IF(AND(10&lt;=Y40,Y40&lt;VLOOKUP($E$3,Parámetros!$O$4:$Y$6,11,FALSE))=TRUE,PRODUCT(VLOOKUP($E$3,Parámetros!$O$4:$Y$6,5,FALSE),R40,1-(Y40/VLOOKUP($E$3,Parámetros!$O$4:$Y$6,11,FALSE))^4/3),IF(AND(VLOOKUP($E$3,Parámetros!$O$4:$Y$6,11,FALSE)&lt;=Y40,Y40&lt;50)=TRUE,PRODUCT(PI()^2,VLOOKUP($E$3,Parámetros!$O$4:$Y$6,3,FALSE),R40,POWER(2.5*Y40^2,-1))," ")))</f>
        <v xml:space="preserve"> </v>
      </c>
      <c r="X40" s="104">
        <f>PRODUCT(PI()^2,VLOOKUP($E$3,Parámetros!$O$4:$Y$6,3,FALSE),S40,POWER($I$10*$E$8,-1))</f>
        <v>2708219.4476589197</v>
      </c>
      <c r="Y40" s="89">
        <f t="shared" si="2"/>
        <v>75</v>
      </c>
      <c r="Z40" s="103" t="str">
        <f>IF(Y40&lt;10,"Columna Corta",IF(AND(10&lt;=Y40,Y40&lt;VLOOKUP($E$3,Parámetros!$O$4:$Y$6,10,FALSE))=TRUE,"Columna Intermedia",IF(AND(VLOOKUP($E$3,Parámetros!$O$4:$Y$6,10,FALSE)&lt;=Y40,Y40&lt;50)=TRUE,"Columna Larga","Elemento Esbelto")))</f>
        <v>Elemento Esbelto</v>
      </c>
      <c r="AA40" s="81" t="str">
        <f>IF(Y40&lt;10,"Columna Corta",IF(AND(10&lt;=Y40,Y40&lt;VLOOKUP($E$3,Parámetros!$O$4:$Y$6,11,FALSE))=TRUE,"Columna Intermedia",IF(AND(VLOOKUP($E$3,Parámetros!$O$4:$Y$6,11,FALSE)&lt;=Y40,Y40&lt;50)=TRUE,"Columna Larga","Elemento Esbelto")))</f>
        <v>Elemento Esbelto</v>
      </c>
    </row>
    <row r="41" spans="16:27" x14ac:dyDescent="0.2">
      <c r="P41" s="89">
        <v>3</v>
      </c>
      <c r="Q41" s="89">
        <v>19</v>
      </c>
      <c r="R41" s="89">
        <f t="shared" si="3"/>
        <v>57</v>
      </c>
      <c r="S41" s="89">
        <f t="shared" si="0"/>
        <v>1714.75</v>
      </c>
      <c r="T41" s="89">
        <f t="shared" si="1"/>
        <v>180.5</v>
      </c>
      <c r="U41" s="89">
        <f>PRODUCT(R41,VLOOKUP($E$3,Parámetros!$O$4:$W$6,8,FALSE))</f>
        <v>4275</v>
      </c>
      <c r="V41" s="104" t="str">
        <f>IF(Y41&lt;10,PRODUCT(R41,VLOOKUP($E$3,Parámetros!$O$4:$Y$6,5,FALSE)),IF(AND(10&lt;=Y41,Y41&lt;VLOOKUP($E$3,Parámetros!$O$4:$Y$6,10,FALSE))=TRUE,PRODUCT(VLOOKUP($E$3,Parámetros!$O$4:$Y$6,5,FALSE),R41,1-(Y41/VLOOKUP($E$3,Parámetros!$O$4:$Y$6,10,FALSE))^4/3),IF(AND(VLOOKUP($E$3,Parámetros!$O$4:$Y$6,10,FALSE)&lt;=Y41,Y41&lt;50)=TRUE,PRODUCT(PI()^2,VLOOKUP($E$3,Parámetros!$O$4:$Y$6,3,FALSE),R41,POWER(2.5*Y41^2,-1))," ")))</f>
        <v xml:space="preserve"> </v>
      </c>
      <c r="W41" s="89" t="str">
        <f>IF(Y41&lt;10,PRODUCT(R41,VLOOKUP($E$3,Parámetros!$O$4:$Y$6,5,FALSE)),IF(AND(10&lt;=Y41,Y41&lt;VLOOKUP($E$3,Parámetros!$O$4:$Y$6,11,FALSE))=TRUE,PRODUCT(VLOOKUP($E$3,Parámetros!$O$4:$Y$6,5,FALSE),R41,1-(Y41/VLOOKUP($E$3,Parámetros!$O$4:$Y$6,11,FALSE))^4/3),IF(AND(VLOOKUP($E$3,Parámetros!$O$4:$Y$6,11,FALSE)&lt;=Y41,Y41&lt;50)=TRUE,PRODUCT(PI()^2,VLOOKUP($E$3,Parámetros!$O$4:$Y$6,3,FALSE),R41,POWER(2.5*Y41^2,-1))," ")))</f>
        <v xml:space="preserve"> </v>
      </c>
      <c r="X41" s="104">
        <f>PRODUCT(PI()^2,VLOOKUP($E$3,Parámetros!$O$4:$Y$6,3,FALSE),S41,POWER($I$10*$E$8,-1))</f>
        <v>6769561.6587071903</v>
      </c>
      <c r="Y41" s="89">
        <f t="shared" si="2"/>
        <v>75</v>
      </c>
      <c r="Z41" s="103" t="str">
        <f>IF(Y41&lt;10,"Columna Corta",IF(AND(10&lt;=Y41,Y41&lt;VLOOKUP($E$3,Parámetros!$O$4:$Y$6,10,FALSE))=TRUE,"Columna Intermedia",IF(AND(VLOOKUP($E$3,Parámetros!$O$4:$Y$6,10,FALSE)&lt;=Y41,Y41&lt;50)=TRUE,"Columna Larga","Elemento Esbelto")))</f>
        <v>Elemento Esbelto</v>
      </c>
      <c r="AA41" s="81" t="str">
        <f>IF(Y41&lt;10,"Columna Corta",IF(AND(10&lt;=Y41,Y41&lt;VLOOKUP($E$3,Parámetros!$O$4:$Y$6,11,FALSE))=TRUE,"Columna Intermedia",IF(AND(VLOOKUP($E$3,Parámetros!$O$4:$Y$6,11,FALSE)&lt;=Y41,Y41&lt;50)=TRUE,"Columna Larga","Elemento Esbelto")))</f>
        <v>Elemento Esbelto</v>
      </c>
    </row>
    <row r="42" spans="16:27" x14ac:dyDescent="0.2">
      <c r="P42" s="89">
        <v>3</v>
      </c>
      <c r="Q42" s="89">
        <v>24</v>
      </c>
      <c r="R42" s="89">
        <f t="shared" si="3"/>
        <v>72</v>
      </c>
      <c r="S42" s="89">
        <f t="shared" si="0"/>
        <v>3456</v>
      </c>
      <c r="T42" s="89">
        <f t="shared" si="1"/>
        <v>288</v>
      </c>
      <c r="U42" s="89">
        <f>PRODUCT(R42,VLOOKUP($E$3,Parámetros!$O$4:$W$6,8,FALSE))</f>
        <v>5400</v>
      </c>
      <c r="V42" s="104" t="str">
        <f>IF(Y42&lt;10,PRODUCT(R42,VLOOKUP($E$3,Parámetros!$O$4:$Y$6,5,FALSE)),IF(AND(10&lt;=Y42,Y42&lt;VLOOKUP($E$3,Parámetros!$O$4:$Y$6,10,FALSE))=TRUE,PRODUCT(VLOOKUP($E$3,Parámetros!$O$4:$Y$6,5,FALSE),R42,1-(Y42/VLOOKUP($E$3,Parámetros!$O$4:$Y$6,10,FALSE))^4/3),IF(AND(VLOOKUP($E$3,Parámetros!$O$4:$Y$6,10,FALSE)&lt;=Y42,Y42&lt;50)=TRUE,PRODUCT(PI()^2,VLOOKUP($E$3,Parámetros!$O$4:$Y$6,3,FALSE),R42,POWER(2.5*Y42^2,-1))," ")))</f>
        <v xml:space="preserve"> </v>
      </c>
      <c r="W42" s="89" t="str">
        <f>IF(Y42&lt;10,PRODUCT(R42,VLOOKUP($E$3,Parámetros!$O$4:$Y$6,5,FALSE)),IF(AND(10&lt;=Y42,Y42&lt;VLOOKUP($E$3,Parámetros!$O$4:$Y$6,11,FALSE))=TRUE,PRODUCT(VLOOKUP($E$3,Parámetros!$O$4:$Y$6,5,FALSE),R42,1-(Y42/VLOOKUP($E$3,Parámetros!$O$4:$Y$6,11,FALSE))^4/3),IF(AND(VLOOKUP($E$3,Parámetros!$O$4:$Y$6,11,FALSE)&lt;=Y42,Y42&lt;50)=TRUE,PRODUCT(PI()^2,VLOOKUP($E$3,Parámetros!$O$4:$Y$6,3,FALSE),R42,POWER(2.5*Y42^2,-1))," ")))</f>
        <v xml:space="preserve"> </v>
      </c>
      <c r="X42" s="104">
        <f>PRODUCT(PI()^2,VLOOKUP($E$3,Parámetros!$O$4:$Y$6,3,FALSE),S42,POWER($I$10*$E$8,-1))</f>
        <v>13643741.124065928</v>
      </c>
      <c r="Y42" s="89">
        <f t="shared" si="2"/>
        <v>75</v>
      </c>
      <c r="Z42" s="103" t="str">
        <f>IF(Y42&lt;10,"Columna Corta",IF(AND(10&lt;=Y42,Y42&lt;VLOOKUP($E$3,Parámetros!$O$4:$Y$6,10,FALSE))=TRUE,"Columna Intermedia",IF(AND(VLOOKUP($E$3,Parámetros!$O$4:$Y$6,10,FALSE)&lt;=Y42,Y42&lt;50)=TRUE,"Columna Larga","Elemento Esbelto")))</f>
        <v>Elemento Esbelto</v>
      </c>
      <c r="AA42" s="81" t="str">
        <f>IF(Y42&lt;10,"Columna Corta",IF(AND(10&lt;=Y42,Y42&lt;VLOOKUP($E$3,Parámetros!$O$4:$Y$6,11,FALSE))=TRUE,"Columna Intermedia",IF(AND(VLOOKUP($E$3,Parámetros!$O$4:$Y$6,11,FALSE)&lt;=Y42,Y42&lt;50)=TRUE,"Columna Larga","Elemento Esbelto")))</f>
        <v>Elemento Esbelto</v>
      </c>
    </row>
    <row r="43" spans="16:27" x14ac:dyDescent="0.2">
      <c r="P43" s="89">
        <v>3</v>
      </c>
      <c r="Q43" s="89">
        <v>29</v>
      </c>
      <c r="R43" s="89">
        <f t="shared" si="3"/>
        <v>87</v>
      </c>
      <c r="S43" s="89">
        <f t="shared" si="0"/>
        <v>6097.25</v>
      </c>
      <c r="T43" s="89">
        <f t="shared" si="1"/>
        <v>420.5</v>
      </c>
      <c r="U43" s="89">
        <f>PRODUCT(R43,VLOOKUP($E$3,Parámetros!$O$4:$W$6,8,FALSE))</f>
        <v>6525</v>
      </c>
      <c r="V43" s="104" t="str">
        <f>IF(Y43&lt;10,PRODUCT(R43,VLOOKUP($E$3,Parámetros!$O$4:$Y$6,5,FALSE)),IF(AND(10&lt;=Y43,Y43&lt;VLOOKUP($E$3,Parámetros!$O$4:$Y$6,10,FALSE))=TRUE,PRODUCT(VLOOKUP($E$3,Parámetros!$O$4:$Y$6,5,FALSE),R43,1-(Y43/VLOOKUP($E$3,Parámetros!$O$4:$Y$6,10,FALSE))^4/3),IF(AND(VLOOKUP($E$3,Parámetros!$O$4:$Y$6,10,FALSE)&lt;=Y43,Y43&lt;50)=TRUE,PRODUCT(PI()^2,VLOOKUP($E$3,Parámetros!$O$4:$Y$6,3,FALSE),R43,POWER(2.5*Y43^2,-1))," ")))</f>
        <v xml:space="preserve"> </v>
      </c>
      <c r="W43" s="89" t="str">
        <f>IF(Y43&lt;10,PRODUCT(R43,VLOOKUP($E$3,Parámetros!$O$4:$Y$6,5,FALSE)),IF(AND(10&lt;=Y43,Y43&lt;VLOOKUP($E$3,Parámetros!$O$4:$Y$6,11,FALSE))=TRUE,PRODUCT(VLOOKUP($E$3,Parámetros!$O$4:$Y$6,5,FALSE),R43,1-(Y43/VLOOKUP($E$3,Parámetros!$O$4:$Y$6,11,FALSE))^4/3),IF(AND(VLOOKUP($E$3,Parámetros!$O$4:$Y$6,11,FALSE)&lt;=Y43,Y43&lt;50)=TRUE,PRODUCT(PI()^2,VLOOKUP($E$3,Parámetros!$O$4:$Y$6,3,FALSE),R43,POWER(2.5*Y43^2,-1))," ")))</f>
        <v xml:space="preserve"> </v>
      </c>
      <c r="X43" s="104">
        <f>PRODUCT(PI()^2,VLOOKUP($E$3,Parámetros!$O$4:$Y$6,3,FALSE),S43,POWER($I$10*$E$8,-1))</f>
        <v>24070978.173816837</v>
      </c>
      <c r="Y43" s="89">
        <f t="shared" si="2"/>
        <v>75</v>
      </c>
      <c r="Z43" s="103" t="str">
        <f>IF(Y43&lt;10,"Columna Corta",IF(AND(10&lt;=Y43,Y43&lt;VLOOKUP($E$3,Parámetros!$O$4:$Y$6,10,FALSE))=TRUE,"Columna Intermedia",IF(AND(VLOOKUP($E$3,Parámetros!$O$4:$Y$6,10,FALSE)&lt;=Y43,Y43&lt;50)=TRUE,"Columna Larga","Elemento Esbelto")))</f>
        <v>Elemento Esbelto</v>
      </c>
      <c r="AA43" s="81" t="str">
        <f>IF(Y43&lt;10,"Columna Corta",IF(AND(10&lt;=Y43,Y43&lt;VLOOKUP($E$3,Parámetros!$O$4:$Y$6,11,FALSE))=TRUE,"Columna Intermedia",IF(AND(VLOOKUP($E$3,Parámetros!$O$4:$Y$6,11,FALSE)&lt;=Y43,Y43&lt;50)=TRUE,"Columna Larga","Elemento Esbelto")))</f>
        <v>Elemento Esbelto</v>
      </c>
    </row>
    <row r="44" spans="16:27" x14ac:dyDescent="0.2">
      <c r="P44" s="89">
        <v>4</v>
      </c>
      <c r="Q44" s="89">
        <v>4</v>
      </c>
      <c r="R44" s="89">
        <f t="shared" si="3"/>
        <v>16</v>
      </c>
      <c r="S44" s="89">
        <f t="shared" si="0"/>
        <v>21.333333333333332</v>
      </c>
      <c r="T44" s="89">
        <f t="shared" si="1"/>
        <v>10.666666666666666</v>
      </c>
      <c r="U44" s="89">
        <f>PRODUCT(R44,VLOOKUP($E$3,Parámetros!$O$4:$W$6,8,FALSE))</f>
        <v>1200</v>
      </c>
      <c r="V44" s="104" t="str">
        <f>IF(Y44&lt;10,PRODUCT(R44,VLOOKUP($E$3,Parámetros!$O$4:$Y$6,5,FALSE)),IF(AND(10&lt;=Y44,Y44&lt;VLOOKUP($E$3,Parámetros!$O$4:$Y$6,10,FALSE))=TRUE,PRODUCT(VLOOKUP($E$3,Parámetros!$O$4:$Y$6,5,FALSE),R44,1-(Y44/VLOOKUP($E$3,Parámetros!$O$4:$Y$6,10,FALSE))^4/3),IF(AND(VLOOKUP($E$3,Parámetros!$O$4:$Y$6,10,FALSE)&lt;=Y44,Y44&lt;50)=TRUE,PRODUCT(PI()^2,VLOOKUP($E$3,Parámetros!$O$4:$Y$6,3,FALSE),R44,POWER(2.5*Y44^2,-1))," ")))</f>
        <v xml:space="preserve"> </v>
      </c>
      <c r="W44" s="89" t="str">
        <f>IF(Y44&lt;10,PRODUCT(R44,VLOOKUP($E$3,Parámetros!$O$4:$Y$6,5,FALSE)),IF(AND(10&lt;=Y44,Y44&lt;VLOOKUP($E$3,Parámetros!$O$4:$Y$6,11,FALSE))=TRUE,PRODUCT(VLOOKUP($E$3,Parámetros!$O$4:$Y$6,5,FALSE),R44,1-(Y44/VLOOKUP($E$3,Parámetros!$O$4:$Y$6,11,FALSE))^4/3),IF(AND(VLOOKUP($E$3,Parámetros!$O$4:$Y$6,11,FALSE)&lt;=Y44,Y44&lt;50)=TRUE,PRODUCT(PI()^2,VLOOKUP($E$3,Parámetros!$O$4:$Y$6,3,FALSE),R44,POWER(2.5*Y44^2,-1))," ")))</f>
        <v xml:space="preserve"> </v>
      </c>
      <c r="X44" s="104">
        <f>PRODUCT(PI()^2,VLOOKUP($E$3,Parámetros!$O$4:$Y$6,3,FALSE),S44,POWER($I$10*$E$8,-1))</f>
        <v>84220.62422262918</v>
      </c>
      <c r="Y44" s="89">
        <f t="shared" si="2"/>
        <v>56.25</v>
      </c>
      <c r="Z44" s="103" t="str">
        <f>IF(Y44&lt;10,"Columna Corta",IF(AND(10&lt;=Y44,Y44&lt;VLOOKUP($E$3,Parámetros!$O$4:$Y$6,10,FALSE))=TRUE,"Columna Intermedia",IF(AND(VLOOKUP($E$3,Parámetros!$O$4:$Y$6,10,FALSE)&lt;=Y44,Y44&lt;50)=TRUE,"Columna Larga","Elemento Esbelto")))</f>
        <v>Elemento Esbelto</v>
      </c>
      <c r="AA44" s="81" t="str">
        <f>IF(Y44&lt;10,"Columna Corta",IF(AND(10&lt;=Y44,Y44&lt;VLOOKUP($E$3,Parámetros!$O$4:$Y$6,11,FALSE))=TRUE,"Columna Intermedia",IF(AND(VLOOKUP($E$3,Parámetros!$O$4:$Y$6,11,FALSE)&lt;=Y44,Y44&lt;50)=TRUE,"Columna Larga","Elemento Esbelto")))</f>
        <v>Elemento Esbelto</v>
      </c>
    </row>
    <row r="45" spans="16:27" x14ac:dyDescent="0.2">
      <c r="P45" s="89">
        <v>4</v>
      </c>
      <c r="Q45" s="89">
        <v>6.5</v>
      </c>
      <c r="R45" s="89">
        <f t="shared" si="3"/>
        <v>26</v>
      </c>
      <c r="S45" s="89">
        <f t="shared" si="0"/>
        <v>91.541666666666657</v>
      </c>
      <c r="T45" s="89">
        <f t="shared" si="1"/>
        <v>28.166666666666664</v>
      </c>
      <c r="U45" s="89">
        <f>PRODUCT(R45,VLOOKUP($E$3,Parámetros!$O$4:$W$6,8,FALSE))</f>
        <v>1950</v>
      </c>
      <c r="V45" s="104" t="str">
        <f>IF(Y45&lt;10,PRODUCT(R45,VLOOKUP($E$3,Parámetros!$O$4:$Y$6,5,FALSE)),IF(AND(10&lt;=Y45,Y45&lt;VLOOKUP($E$3,Parámetros!$O$4:$Y$6,10,FALSE))=TRUE,PRODUCT(VLOOKUP($E$3,Parámetros!$O$4:$Y$6,5,FALSE),R45,1-(Y45/VLOOKUP($E$3,Parámetros!$O$4:$Y$6,10,FALSE))^4/3),IF(AND(VLOOKUP($E$3,Parámetros!$O$4:$Y$6,10,FALSE)&lt;=Y45,Y45&lt;50)=TRUE,PRODUCT(PI()^2,VLOOKUP($E$3,Parámetros!$O$4:$Y$6,3,FALSE),R45,POWER(2.5*Y45^2,-1))," ")))</f>
        <v xml:space="preserve"> </v>
      </c>
      <c r="W45" s="89" t="str">
        <f>IF(Y45&lt;10,PRODUCT(R45,VLOOKUP($E$3,Parámetros!$O$4:$Y$6,5,FALSE)),IF(AND(10&lt;=Y45,Y45&lt;VLOOKUP($E$3,Parámetros!$O$4:$Y$6,11,FALSE))=TRUE,PRODUCT(VLOOKUP($E$3,Parámetros!$O$4:$Y$6,5,FALSE),R45,1-(Y45/VLOOKUP($E$3,Parámetros!$O$4:$Y$6,11,FALSE))^4/3),IF(AND(VLOOKUP($E$3,Parámetros!$O$4:$Y$6,11,FALSE)&lt;=Y45,Y45&lt;50)=TRUE,PRODUCT(PI()^2,VLOOKUP($E$3,Parámetros!$O$4:$Y$6,3,FALSE),R45,POWER(2.5*Y45^2,-1))," ")))</f>
        <v xml:space="preserve"> </v>
      </c>
      <c r="X45" s="104">
        <f>PRODUCT(PI()^2,VLOOKUP($E$3,Parámetros!$O$4:$Y$6,3,FALSE),S45,POWER($I$10*$E$8,-1))</f>
        <v>361392.0144865553</v>
      </c>
      <c r="Y45" s="89">
        <f t="shared" si="2"/>
        <v>56.25</v>
      </c>
      <c r="Z45" s="103" t="str">
        <f>IF(Y45&lt;10,"Columna Corta",IF(AND(10&lt;=Y45,Y45&lt;VLOOKUP($E$3,Parámetros!$O$4:$Y$6,10,FALSE))=TRUE,"Columna Intermedia",IF(AND(VLOOKUP($E$3,Parámetros!$O$4:$Y$6,10,FALSE)&lt;=Y45,Y45&lt;50)=TRUE,"Columna Larga","Elemento Esbelto")))</f>
        <v>Elemento Esbelto</v>
      </c>
      <c r="AA45" s="81" t="str">
        <f>IF(Y45&lt;10,"Columna Corta",IF(AND(10&lt;=Y45,Y45&lt;VLOOKUP($E$3,Parámetros!$O$4:$Y$6,11,FALSE))=TRUE,"Columna Intermedia",IF(AND(VLOOKUP($E$3,Parámetros!$O$4:$Y$6,11,FALSE)&lt;=Y45,Y45&lt;50)=TRUE,"Columna Larga","Elemento Esbelto")))</f>
        <v>Elemento Esbelto</v>
      </c>
    </row>
    <row r="46" spans="16:27" x14ac:dyDescent="0.2">
      <c r="P46" s="89">
        <v>4</v>
      </c>
      <c r="Q46" s="89">
        <v>9</v>
      </c>
      <c r="R46" s="89">
        <f t="shared" si="3"/>
        <v>36</v>
      </c>
      <c r="S46" s="89">
        <f t="shared" si="0"/>
        <v>243</v>
      </c>
      <c r="T46" s="89">
        <f t="shared" si="1"/>
        <v>54</v>
      </c>
      <c r="U46" s="89">
        <f>PRODUCT(R46,VLOOKUP($E$3,Parámetros!$O$4:$W$6,8,FALSE))</f>
        <v>2700</v>
      </c>
      <c r="V46" s="104" t="str">
        <f>IF(Y46&lt;10,PRODUCT(R46,VLOOKUP($E$3,Parámetros!$O$4:$Y$6,5,FALSE)),IF(AND(10&lt;=Y46,Y46&lt;VLOOKUP($E$3,Parámetros!$O$4:$Y$6,10,FALSE))=TRUE,PRODUCT(VLOOKUP($E$3,Parámetros!$O$4:$Y$6,5,FALSE),R46,1-(Y46/VLOOKUP($E$3,Parámetros!$O$4:$Y$6,10,FALSE))^4/3),IF(AND(VLOOKUP($E$3,Parámetros!$O$4:$Y$6,10,FALSE)&lt;=Y46,Y46&lt;50)=TRUE,PRODUCT(PI()^2,VLOOKUP($E$3,Parámetros!$O$4:$Y$6,3,FALSE),R46,POWER(2.5*Y46^2,-1))," ")))</f>
        <v xml:space="preserve"> </v>
      </c>
      <c r="W46" s="89" t="str">
        <f>IF(Y46&lt;10,PRODUCT(R46,VLOOKUP($E$3,Parámetros!$O$4:$Y$6,5,FALSE)),IF(AND(10&lt;=Y46,Y46&lt;VLOOKUP($E$3,Parámetros!$O$4:$Y$6,11,FALSE))=TRUE,PRODUCT(VLOOKUP($E$3,Parámetros!$O$4:$Y$6,5,FALSE),R46,1-(Y46/VLOOKUP($E$3,Parámetros!$O$4:$Y$6,11,FALSE))^4/3),IF(AND(VLOOKUP($E$3,Parámetros!$O$4:$Y$6,11,FALSE)&lt;=Y46,Y46&lt;50)=TRUE,PRODUCT(PI()^2,VLOOKUP($E$3,Parámetros!$O$4:$Y$6,3,FALSE),R46,POWER(2.5*Y46^2,-1))," ")))</f>
        <v xml:space="preserve"> </v>
      </c>
      <c r="X46" s="104">
        <f>PRODUCT(PI()^2,VLOOKUP($E$3,Parámetros!$O$4:$Y$6,3,FALSE),S46,POWER($I$10*$E$8,-1))</f>
        <v>959325.54778588563</v>
      </c>
      <c r="Y46" s="89">
        <f t="shared" si="2"/>
        <v>56.25</v>
      </c>
      <c r="Z46" s="103" t="str">
        <f>IF(Y46&lt;10,"Columna Corta",IF(AND(10&lt;=Y46,Y46&lt;VLOOKUP($E$3,Parámetros!$O$4:$Y$6,10,FALSE))=TRUE,"Columna Intermedia",IF(AND(VLOOKUP($E$3,Parámetros!$O$4:$Y$6,10,FALSE)&lt;=Y46,Y46&lt;50)=TRUE,"Columna Larga","Elemento Esbelto")))</f>
        <v>Elemento Esbelto</v>
      </c>
      <c r="AA46" s="81" t="str">
        <f>IF(Y46&lt;10,"Columna Corta",IF(AND(10&lt;=Y46,Y46&lt;VLOOKUP($E$3,Parámetros!$O$4:$Y$6,11,FALSE))=TRUE,"Columna Intermedia",IF(AND(VLOOKUP($E$3,Parámetros!$O$4:$Y$6,11,FALSE)&lt;=Y46,Y46&lt;50)=TRUE,"Columna Larga","Elemento Esbelto")))</f>
        <v>Elemento Esbelto</v>
      </c>
    </row>
    <row r="47" spans="16:27" x14ac:dyDescent="0.2">
      <c r="P47" s="89">
        <v>4</v>
      </c>
      <c r="Q47" s="89">
        <v>14</v>
      </c>
      <c r="R47" s="89">
        <f t="shared" si="3"/>
        <v>56</v>
      </c>
      <c r="S47" s="89">
        <f t="shared" si="0"/>
        <v>914.66666666666663</v>
      </c>
      <c r="T47" s="89">
        <f t="shared" si="1"/>
        <v>130.66666666666666</v>
      </c>
      <c r="U47" s="89">
        <f>PRODUCT(R47,VLOOKUP($E$3,Parámetros!$O$4:$W$6,8,FALSE))</f>
        <v>4200</v>
      </c>
      <c r="V47" s="104" t="str">
        <f>IF(Y47&lt;10,PRODUCT(R47,VLOOKUP($E$3,Parámetros!$O$4:$Y$6,5,FALSE)),IF(AND(10&lt;=Y47,Y47&lt;VLOOKUP($E$3,Parámetros!$O$4:$Y$6,10,FALSE))=TRUE,PRODUCT(VLOOKUP($E$3,Parámetros!$O$4:$Y$6,5,FALSE),R47,1-(Y47/VLOOKUP($E$3,Parámetros!$O$4:$Y$6,10,FALSE))^4/3),IF(AND(VLOOKUP($E$3,Parámetros!$O$4:$Y$6,10,FALSE)&lt;=Y47,Y47&lt;50)=TRUE,PRODUCT(PI()^2,VLOOKUP($E$3,Parámetros!$O$4:$Y$6,3,FALSE),R47,POWER(2.5*Y47^2,-1))," ")))</f>
        <v xml:space="preserve"> </v>
      </c>
      <c r="W47" s="89" t="str">
        <f>IF(Y47&lt;10,PRODUCT(R47,VLOOKUP($E$3,Parámetros!$O$4:$Y$6,5,FALSE)),IF(AND(10&lt;=Y47,Y47&lt;VLOOKUP($E$3,Parámetros!$O$4:$Y$6,11,FALSE))=TRUE,PRODUCT(VLOOKUP($E$3,Parámetros!$O$4:$Y$6,5,FALSE),R47,1-(Y47/VLOOKUP($E$3,Parámetros!$O$4:$Y$6,11,FALSE))^4/3),IF(AND(VLOOKUP($E$3,Parámetros!$O$4:$Y$6,11,FALSE)&lt;=Y47,Y47&lt;50)=TRUE,PRODUCT(PI()^2,VLOOKUP($E$3,Parámetros!$O$4:$Y$6,3,FALSE),R47,POWER(2.5*Y47^2,-1))," ")))</f>
        <v xml:space="preserve"> </v>
      </c>
      <c r="X47" s="104">
        <f>PRODUCT(PI()^2,VLOOKUP($E$3,Parámetros!$O$4:$Y$6,3,FALSE),S47,POWER($I$10*$E$8,-1))</f>
        <v>3610959.2635452263</v>
      </c>
      <c r="Y47" s="89">
        <f t="shared" si="2"/>
        <v>56.25</v>
      </c>
      <c r="Z47" s="103" t="str">
        <f>IF(Y47&lt;10,"Columna Corta",IF(AND(10&lt;=Y47,Y47&lt;VLOOKUP($E$3,Parámetros!$O$4:$Y$6,10,FALSE))=TRUE,"Columna Intermedia",IF(AND(VLOOKUP($E$3,Parámetros!$O$4:$Y$6,10,FALSE)&lt;=Y47,Y47&lt;50)=TRUE,"Columna Larga","Elemento Esbelto")))</f>
        <v>Elemento Esbelto</v>
      </c>
      <c r="AA47" s="81" t="str">
        <f>IF(Y47&lt;10,"Columna Corta",IF(AND(10&lt;=Y47,Y47&lt;VLOOKUP($E$3,Parámetros!$O$4:$Y$6,11,FALSE))=TRUE,"Columna Intermedia",IF(AND(VLOOKUP($E$3,Parámetros!$O$4:$Y$6,11,FALSE)&lt;=Y47,Y47&lt;50)=TRUE,"Columna Larga","Elemento Esbelto")))</f>
        <v>Elemento Esbelto</v>
      </c>
    </row>
    <row r="48" spans="16:27" x14ac:dyDescent="0.2">
      <c r="P48" s="89">
        <v>4</v>
      </c>
      <c r="Q48" s="89">
        <v>16.5</v>
      </c>
      <c r="R48" s="89">
        <f t="shared" si="3"/>
        <v>66</v>
      </c>
      <c r="S48" s="89">
        <f t="shared" si="0"/>
        <v>1497.375</v>
      </c>
      <c r="T48" s="89">
        <f t="shared" si="1"/>
        <v>181.5</v>
      </c>
      <c r="U48" s="89">
        <f>PRODUCT(R48,VLOOKUP($E$3,Parámetros!$O$4:$W$6,8,FALSE))</f>
        <v>4950</v>
      </c>
      <c r="V48" s="104" t="str">
        <f>IF(Y48&lt;10,PRODUCT(R48,VLOOKUP($E$3,Parámetros!$O$4:$Y$6,5,FALSE)),IF(AND(10&lt;=Y48,Y48&lt;VLOOKUP($E$3,Parámetros!$O$4:$Y$6,10,FALSE))=TRUE,PRODUCT(VLOOKUP($E$3,Parámetros!$O$4:$Y$6,5,FALSE),R48,1-(Y48/VLOOKUP($E$3,Parámetros!$O$4:$Y$6,10,FALSE))^4/3),IF(AND(VLOOKUP($E$3,Parámetros!$O$4:$Y$6,10,FALSE)&lt;=Y48,Y48&lt;50)=TRUE,PRODUCT(PI()^2,VLOOKUP($E$3,Parámetros!$O$4:$Y$6,3,FALSE),R48,POWER(2.5*Y48^2,-1))," ")))</f>
        <v xml:space="preserve"> </v>
      </c>
      <c r="W48" s="89" t="str">
        <f>IF(Y48&lt;10,PRODUCT(R48,VLOOKUP($E$3,Parámetros!$O$4:$Y$6,5,FALSE)),IF(AND(10&lt;=Y48,Y48&lt;VLOOKUP($E$3,Parámetros!$O$4:$Y$6,11,FALSE))=TRUE,PRODUCT(VLOOKUP($E$3,Parámetros!$O$4:$Y$6,5,FALSE),R48,1-(Y48/VLOOKUP($E$3,Parámetros!$O$4:$Y$6,11,FALSE))^4/3),IF(AND(VLOOKUP($E$3,Parámetros!$O$4:$Y$6,11,FALSE)&lt;=Y48,Y48&lt;50)=TRUE,PRODUCT(PI()^2,VLOOKUP($E$3,Parámetros!$O$4:$Y$6,3,FALSE),R48,POWER(2.5*Y48^2,-1))," ")))</f>
        <v xml:space="preserve"> </v>
      </c>
      <c r="X48" s="104">
        <f>PRODUCT(PI()^2,VLOOKUP($E$3,Parámetros!$O$4:$Y$6,3,FALSE),S48,POWER($I$10*$E$8,-1))</f>
        <v>5911399.5560324714</v>
      </c>
      <c r="Y48" s="89">
        <f t="shared" si="2"/>
        <v>56.25</v>
      </c>
      <c r="Z48" s="103" t="str">
        <f>IF(Y48&lt;10,"Columna Corta",IF(AND(10&lt;=Y48,Y48&lt;VLOOKUP($E$3,Parámetros!$O$4:$Y$6,10,FALSE))=TRUE,"Columna Intermedia",IF(AND(VLOOKUP($E$3,Parámetros!$O$4:$Y$6,10,FALSE)&lt;=Y48,Y48&lt;50)=TRUE,"Columna Larga","Elemento Esbelto")))</f>
        <v>Elemento Esbelto</v>
      </c>
      <c r="AA48" s="81" t="str">
        <f>IF(Y48&lt;10,"Columna Corta",IF(AND(10&lt;=Y48,Y48&lt;VLOOKUP($E$3,Parámetros!$O$4:$Y$6,11,FALSE))=TRUE,"Columna Intermedia",IF(AND(VLOOKUP($E$3,Parámetros!$O$4:$Y$6,11,FALSE)&lt;=Y48,Y48&lt;50)=TRUE,"Columna Larga","Elemento Esbelto")))</f>
        <v>Elemento Esbelto</v>
      </c>
    </row>
    <row r="49" spans="16:27" x14ac:dyDescent="0.2">
      <c r="P49" s="89">
        <v>4</v>
      </c>
      <c r="Q49" s="89">
        <v>19</v>
      </c>
      <c r="R49" s="89">
        <f t="shared" si="3"/>
        <v>76</v>
      </c>
      <c r="S49" s="89">
        <f t="shared" si="0"/>
        <v>2286.333333333333</v>
      </c>
      <c r="T49" s="89">
        <f t="shared" si="1"/>
        <v>240.66666666666666</v>
      </c>
      <c r="U49" s="89">
        <f>PRODUCT(R49,VLOOKUP($E$3,Parámetros!$O$4:$W$6,8,FALSE))</f>
        <v>5700</v>
      </c>
      <c r="V49" s="104" t="str">
        <f>IF(Y49&lt;10,PRODUCT(R49,VLOOKUP($E$3,Parámetros!$O$4:$Y$6,5,FALSE)),IF(AND(10&lt;=Y49,Y49&lt;VLOOKUP($E$3,Parámetros!$O$4:$Y$6,10,FALSE))=TRUE,PRODUCT(VLOOKUP($E$3,Parámetros!$O$4:$Y$6,5,FALSE),R49,1-(Y49/VLOOKUP($E$3,Parámetros!$O$4:$Y$6,10,FALSE))^4/3),IF(AND(VLOOKUP($E$3,Parámetros!$O$4:$Y$6,10,FALSE)&lt;=Y49,Y49&lt;50)=TRUE,PRODUCT(PI()^2,VLOOKUP($E$3,Parámetros!$O$4:$Y$6,3,FALSE),R49,POWER(2.5*Y49^2,-1))," ")))</f>
        <v xml:space="preserve"> </v>
      </c>
      <c r="W49" s="89" t="str">
        <f>IF(Y49&lt;10,PRODUCT(R49,VLOOKUP($E$3,Parámetros!$O$4:$Y$6,5,FALSE)),IF(AND(10&lt;=Y49,Y49&lt;VLOOKUP($E$3,Parámetros!$O$4:$Y$6,11,FALSE))=TRUE,PRODUCT(VLOOKUP($E$3,Parámetros!$O$4:$Y$6,5,FALSE),R49,1-(Y49/VLOOKUP($E$3,Parámetros!$O$4:$Y$6,11,FALSE))^4/3),IF(AND(VLOOKUP($E$3,Parámetros!$O$4:$Y$6,11,FALSE)&lt;=Y49,Y49&lt;50)=TRUE,PRODUCT(PI()^2,VLOOKUP($E$3,Parámetros!$O$4:$Y$6,3,FALSE),R49,POWER(2.5*Y49^2,-1))," ")))</f>
        <v xml:space="preserve"> </v>
      </c>
      <c r="X49" s="104">
        <f>PRODUCT(PI()^2,VLOOKUP($E$3,Parámetros!$O$4:$Y$6,3,FALSE),S49,POWER($I$10*$E$8,-1))</f>
        <v>9026082.2116095871</v>
      </c>
      <c r="Y49" s="89">
        <f t="shared" si="2"/>
        <v>56.25</v>
      </c>
      <c r="Z49" s="103" t="str">
        <f>IF(Y49&lt;10,"Columna Corta",IF(AND(10&lt;=Y49,Y49&lt;VLOOKUP($E$3,Parámetros!$O$4:$Y$6,10,FALSE))=TRUE,"Columna Intermedia",IF(AND(VLOOKUP($E$3,Parámetros!$O$4:$Y$6,10,FALSE)&lt;=Y49,Y49&lt;50)=TRUE,"Columna Larga","Elemento Esbelto")))</f>
        <v>Elemento Esbelto</v>
      </c>
      <c r="AA49" s="81" t="str">
        <f>IF(Y49&lt;10,"Columna Corta",IF(AND(10&lt;=Y49,Y49&lt;VLOOKUP($E$3,Parámetros!$O$4:$Y$6,11,FALSE))=TRUE,"Columna Intermedia",IF(AND(VLOOKUP($E$3,Parámetros!$O$4:$Y$6,11,FALSE)&lt;=Y49,Y49&lt;50)=TRUE,"Columna Larga","Elemento Esbelto")))</f>
        <v>Elemento Esbelto</v>
      </c>
    </row>
    <row r="50" spans="16:27" x14ac:dyDescent="0.2">
      <c r="P50" s="89">
        <v>4</v>
      </c>
      <c r="Q50" s="89">
        <v>24</v>
      </c>
      <c r="R50" s="89">
        <f t="shared" si="3"/>
        <v>96</v>
      </c>
      <c r="S50" s="89">
        <f t="shared" si="0"/>
        <v>4608</v>
      </c>
      <c r="T50" s="89">
        <f t="shared" si="1"/>
        <v>384</v>
      </c>
      <c r="U50" s="89">
        <f>PRODUCT(R50,VLOOKUP($E$3,Parámetros!$O$4:$W$6,8,FALSE))</f>
        <v>7200</v>
      </c>
      <c r="V50" s="104" t="str">
        <f>IF(Y50&lt;10,PRODUCT(R50,VLOOKUP($E$3,Parámetros!$O$4:$Y$6,5,FALSE)),IF(AND(10&lt;=Y50,Y50&lt;VLOOKUP($E$3,Parámetros!$O$4:$Y$6,10,FALSE))=TRUE,PRODUCT(VLOOKUP($E$3,Parámetros!$O$4:$Y$6,5,FALSE),R50,1-(Y50/VLOOKUP($E$3,Parámetros!$O$4:$Y$6,10,FALSE))^4/3),IF(AND(VLOOKUP($E$3,Parámetros!$O$4:$Y$6,10,FALSE)&lt;=Y50,Y50&lt;50)=TRUE,PRODUCT(PI()^2,VLOOKUP($E$3,Parámetros!$O$4:$Y$6,3,FALSE),R50,POWER(2.5*Y50^2,-1))," ")))</f>
        <v xml:space="preserve"> </v>
      </c>
      <c r="W50" s="89" t="str">
        <f>IF(Y50&lt;10,PRODUCT(R50,VLOOKUP($E$3,Parámetros!$O$4:$Y$6,5,FALSE)),IF(AND(10&lt;=Y50,Y50&lt;VLOOKUP($E$3,Parámetros!$O$4:$Y$6,11,FALSE))=TRUE,PRODUCT(VLOOKUP($E$3,Parámetros!$O$4:$Y$6,5,FALSE),R50,1-(Y50/VLOOKUP($E$3,Parámetros!$O$4:$Y$6,11,FALSE))^4/3),IF(AND(VLOOKUP($E$3,Parámetros!$O$4:$Y$6,11,FALSE)&lt;=Y50,Y50&lt;50)=TRUE,PRODUCT(PI()^2,VLOOKUP($E$3,Parámetros!$O$4:$Y$6,3,FALSE),R50,POWER(2.5*Y50^2,-1))," ")))</f>
        <v xml:space="preserve"> </v>
      </c>
      <c r="X50" s="104">
        <f>PRODUCT(PI()^2,VLOOKUP($E$3,Parámetros!$O$4:$Y$6,3,FALSE),S50,POWER($I$10*$E$8,-1))</f>
        <v>18191654.832087904</v>
      </c>
      <c r="Y50" s="89">
        <f t="shared" si="2"/>
        <v>56.25</v>
      </c>
      <c r="Z50" s="103" t="str">
        <f>IF(Y50&lt;10,"Columna Corta",IF(AND(10&lt;=Y50,Y50&lt;VLOOKUP($E$3,Parámetros!$O$4:$Y$6,10,FALSE))=TRUE,"Columna Intermedia",IF(AND(VLOOKUP($E$3,Parámetros!$O$4:$Y$6,10,FALSE)&lt;=Y50,Y50&lt;50)=TRUE,"Columna Larga","Elemento Esbelto")))</f>
        <v>Elemento Esbelto</v>
      </c>
      <c r="AA50" s="81" t="str">
        <f>IF(Y50&lt;10,"Columna Corta",IF(AND(10&lt;=Y50,Y50&lt;VLOOKUP($E$3,Parámetros!$O$4:$Y$6,11,FALSE))=TRUE,"Columna Intermedia",IF(AND(VLOOKUP($E$3,Parámetros!$O$4:$Y$6,11,FALSE)&lt;=Y50,Y50&lt;50)=TRUE,"Columna Larga","Elemento Esbelto")))</f>
        <v>Elemento Esbelto</v>
      </c>
    </row>
    <row r="51" spans="16:27" x14ac:dyDescent="0.2">
      <c r="P51" s="89">
        <v>4</v>
      </c>
      <c r="Q51" s="89">
        <v>29</v>
      </c>
      <c r="R51" s="89">
        <f t="shared" si="3"/>
        <v>116</v>
      </c>
      <c r="S51" s="89">
        <f t="shared" si="0"/>
        <v>8129.6666666666661</v>
      </c>
      <c r="T51" s="89">
        <f t="shared" si="1"/>
        <v>560.66666666666663</v>
      </c>
      <c r="U51" s="89">
        <f>PRODUCT(R51,VLOOKUP($E$3,Parámetros!$O$4:$W$6,8,FALSE))</f>
        <v>8700</v>
      </c>
      <c r="V51" s="104" t="str">
        <f>IF(Y51&lt;10,PRODUCT(R51,VLOOKUP($E$3,Parámetros!$O$4:$Y$6,5,FALSE)),IF(AND(10&lt;=Y51,Y51&lt;VLOOKUP($E$3,Parámetros!$O$4:$Y$6,10,FALSE))=TRUE,PRODUCT(VLOOKUP($E$3,Parámetros!$O$4:$Y$6,5,FALSE),R51,1-(Y51/VLOOKUP($E$3,Parámetros!$O$4:$Y$6,10,FALSE))^4/3),IF(AND(VLOOKUP($E$3,Parámetros!$O$4:$Y$6,10,FALSE)&lt;=Y51,Y51&lt;50)=TRUE,PRODUCT(PI()^2,VLOOKUP($E$3,Parámetros!$O$4:$Y$6,3,FALSE),R51,POWER(2.5*Y51^2,-1))," ")))</f>
        <v xml:space="preserve"> </v>
      </c>
      <c r="W51" s="89" t="str">
        <f>IF(Y51&lt;10,PRODUCT(R51,VLOOKUP($E$3,Parámetros!$O$4:$Y$6,5,FALSE)),IF(AND(10&lt;=Y51,Y51&lt;VLOOKUP($E$3,Parámetros!$O$4:$Y$6,11,FALSE))=TRUE,PRODUCT(VLOOKUP($E$3,Parámetros!$O$4:$Y$6,5,FALSE),R51,1-(Y51/VLOOKUP($E$3,Parámetros!$O$4:$Y$6,11,FALSE))^4/3),IF(AND(VLOOKUP($E$3,Parámetros!$O$4:$Y$6,11,FALSE)&lt;=Y51,Y51&lt;50)=TRUE,PRODUCT(PI()^2,VLOOKUP($E$3,Parámetros!$O$4:$Y$6,3,FALSE),R51,POWER(2.5*Y51^2,-1))," ")))</f>
        <v xml:space="preserve"> </v>
      </c>
      <c r="X51" s="104">
        <f>PRODUCT(PI()^2,VLOOKUP($E$3,Parámetros!$O$4:$Y$6,3,FALSE),S51,POWER($I$10*$E$8,-1))</f>
        <v>32094637.56508911</v>
      </c>
      <c r="Y51" s="89">
        <f t="shared" si="2"/>
        <v>56.25</v>
      </c>
      <c r="Z51" s="103" t="str">
        <f>IF(Y51&lt;10,"Columna Corta",IF(AND(10&lt;=Y51,Y51&lt;VLOOKUP($E$3,Parámetros!$O$4:$Y$6,10,FALSE))=TRUE,"Columna Intermedia",IF(AND(VLOOKUP($E$3,Parámetros!$O$4:$Y$6,10,FALSE)&lt;=Y51,Y51&lt;50)=TRUE,"Columna Larga","Elemento Esbelto")))</f>
        <v>Elemento Esbelto</v>
      </c>
      <c r="AA51" s="81" t="str">
        <f>IF(Y51&lt;10,"Columna Corta",IF(AND(10&lt;=Y51,Y51&lt;VLOOKUP($E$3,Parámetros!$O$4:$Y$6,11,FALSE))=TRUE,"Columna Intermedia",IF(AND(VLOOKUP($E$3,Parámetros!$O$4:$Y$6,11,FALSE)&lt;=Y51,Y51&lt;50)=TRUE,"Columna Larga","Elemento Esbelto")))</f>
        <v>Elemento Esbelto</v>
      </c>
    </row>
    <row r="52" spans="16:27" x14ac:dyDescent="0.2">
      <c r="P52" s="89">
        <v>5</v>
      </c>
      <c r="Q52" s="89">
        <v>5</v>
      </c>
      <c r="R52" s="89">
        <f t="shared" si="3"/>
        <v>25</v>
      </c>
      <c r="S52" s="89">
        <f t="shared" si="0"/>
        <v>52.083333333333329</v>
      </c>
      <c r="T52" s="89">
        <f t="shared" si="1"/>
        <v>20.833333333333332</v>
      </c>
      <c r="U52" s="89">
        <f>PRODUCT(R52,VLOOKUP($E$3,Parámetros!$O$4:$W$6,8,FALSE))</f>
        <v>1875</v>
      </c>
      <c r="V52" s="104">
        <f>IF(Y52&lt;10,PRODUCT(R52,VLOOKUP($E$3,Parámetros!$O$4:$Y$6,5,FALSE)),IF(AND(10&lt;=Y52,Y52&lt;VLOOKUP($E$3,Parámetros!$O$4:$Y$6,10,FALSE))=TRUE,PRODUCT(VLOOKUP($E$3,Parámetros!$O$4:$Y$6,5,FALSE),R52,1-(Y52/VLOOKUP($E$3,Parámetros!$O$4:$Y$6,10,FALSE))^4/3),IF(AND(VLOOKUP($E$3,Parámetros!$O$4:$Y$6,10,FALSE)&lt;=Y52,Y52&lt;50)=TRUE,PRODUCT(PI()^2,VLOOKUP($E$3,Parámetros!$O$4:$Y$6,3,FALSE),R52,POWER(2.5*Y52^2,-1))," ")))</f>
        <v>4386.490844928604</v>
      </c>
      <c r="W52" s="89">
        <f>IF(Y52&lt;10,PRODUCT(R52,VLOOKUP($E$3,Parámetros!$O$4:$Y$6,5,FALSE)),IF(AND(10&lt;=Y52,Y52&lt;VLOOKUP($E$3,Parámetros!$O$4:$Y$6,11,FALSE))=TRUE,PRODUCT(VLOOKUP($E$3,Parámetros!$O$4:$Y$6,5,FALSE),R52,1-(Y52/VLOOKUP($E$3,Parámetros!$O$4:$Y$6,11,FALSE))^4/3),IF(AND(VLOOKUP($E$3,Parámetros!$O$4:$Y$6,11,FALSE)&lt;=Y52,Y52&lt;50)=TRUE,PRODUCT(PI()^2,VLOOKUP($E$3,Parámetros!$O$4:$Y$6,3,FALSE),R52,POWER(2.5*Y52^2,-1))," ")))</f>
        <v>4386.490844928604</v>
      </c>
      <c r="X52" s="104">
        <f>PRODUCT(PI()^2,VLOOKUP($E$3,Parámetros!$O$4:$Y$6,3,FALSE),S52,POWER($I$10*$E$8,-1))</f>
        <v>205616.75835602827</v>
      </c>
      <c r="Y52" s="89">
        <f t="shared" si="2"/>
        <v>45</v>
      </c>
      <c r="Z52" s="103" t="str">
        <f>IF(Y52&lt;10,"Columna Corta",IF(AND(10&lt;=Y52,Y52&lt;VLOOKUP($E$3,Parámetros!$O$4:$Y$6,10,FALSE))=TRUE,"Columna Intermedia",IF(AND(VLOOKUP($E$3,Parámetros!$O$4:$Y$6,10,FALSE)&lt;=Y52,Y52&lt;50)=TRUE,"Columna Larga","Elemento Esbelto")))</f>
        <v>Columna Larga</v>
      </c>
      <c r="AA52" s="81" t="str">
        <f>IF(Y52&lt;10,"Columna Corta",IF(AND(10&lt;=Y52,Y52&lt;VLOOKUP($E$3,Parámetros!$O$4:$Y$6,11,FALSE))=TRUE,"Columna Intermedia",IF(AND(VLOOKUP($E$3,Parámetros!$O$4:$Y$6,11,FALSE)&lt;=Y52,Y52&lt;50)=TRUE,"Columna Larga","Elemento Esbelto")))</f>
        <v>Columna Larga</v>
      </c>
    </row>
    <row r="53" spans="16:27" x14ac:dyDescent="0.2">
      <c r="P53" s="89">
        <v>5</v>
      </c>
      <c r="Q53" s="89">
        <v>6.5</v>
      </c>
      <c r="R53" s="89">
        <f t="shared" si="3"/>
        <v>32.5</v>
      </c>
      <c r="S53" s="89">
        <f t="shared" si="0"/>
        <v>114.42708333333333</v>
      </c>
      <c r="T53" s="89">
        <f t="shared" si="1"/>
        <v>35.208333333333329</v>
      </c>
      <c r="U53" s="89">
        <f>PRODUCT(R53,VLOOKUP($E$3,Parámetros!$O$4:$W$6,8,FALSE))</f>
        <v>2437.5</v>
      </c>
      <c r="V53" s="104">
        <f>IF(Y53&lt;10,PRODUCT(R53,VLOOKUP($E$3,Parámetros!$O$4:$Y$6,5,FALSE)),IF(AND(10&lt;=Y53,Y53&lt;VLOOKUP($E$3,Parámetros!$O$4:$Y$6,10,FALSE))=TRUE,PRODUCT(VLOOKUP($E$3,Parámetros!$O$4:$Y$6,5,FALSE),R53,1-(Y53/VLOOKUP($E$3,Parámetros!$O$4:$Y$6,10,FALSE))^4/3),IF(AND(VLOOKUP($E$3,Parámetros!$O$4:$Y$6,10,FALSE)&lt;=Y53,Y53&lt;50)=TRUE,PRODUCT(PI()^2,VLOOKUP($E$3,Parámetros!$O$4:$Y$6,3,FALSE),R53,POWER(2.5*Y53^2,-1))," ")))</f>
        <v>5702.438098407184</v>
      </c>
      <c r="W53" s="89">
        <f>IF(Y53&lt;10,PRODUCT(R53,VLOOKUP($E$3,Parámetros!$O$4:$Y$6,5,FALSE)),IF(AND(10&lt;=Y53,Y53&lt;VLOOKUP($E$3,Parámetros!$O$4:$Y$6,11,FALSE))=TRUE,PRODUCT(VLOOKUP($E$3,Parámetros!$O$4:$Y$6,5,FALSE),R53,1-(Y53/VLOOKUP($E$3,Parámetros!$O$4:$Y$6,11,FALSE))^4/3),IF(AND(VLOOKUP($E$3,Parámetros!$O$4:$Y$6,11,FALSE)&lt;=Y53,Y53&lt;50)=TRUE,PRODUCT(PI()^2,VLOOKUP($E$3,Parámetros!$O$4:$Y$6,3,FALSE),R53,POWER(2.5*Y53^2,-1))," ")))</f>
        <v>5702.438098407184</v>
      </c>
      <c r="X53" s="104">
        <f>PRODUCT(PI()^2,VLOOKUP($E$3,Parámetros!$O$4:$Y$6,3,FALSE),S53,POWER($I$10*$E$8,-1))</f>
        <v>451740.01810819411</v>
      </c>
      <c r="Y53" s="89">
        <f t="shared" si="2"/>
        <v>45</v>
      </c>
      <c r="Z53" s="103" t="str">
        <f>IF(Y53&lt;10,"Columna Corta",IF(AND(10&lt;=Y53,Y53&lt;VLOOKUP($E$3,Parámetros!$O$4:$Y$6,10,FALSE))=TRUE,"Columna Intermedia",IF(AND(VLOOKUP($E$3,Parámetros!$O$4:$Y$6,10,FALSE)&lt;=Y53,Y53&lt;50)=TRUE,"Columna Larga","Elemento Esbelto")))</f>
        <v>Columna Larga</v>
      </c>
      <c r="AA53" s="81" t="str">
        <f>IF(Y53&lt;10,"Columna Corta",IF(AND(10&lt;=Y53,Y53&lt;VLOOKUP($E$3,Parámetros!$O$4:$Y$6,11,FALSE))=TRUE,"Columna Intermedia",IF(AND(VLOOKUP($E$3,Parámetros!$O$4:$Y$6,11,FALSE)&lt;=Y53,Y53&lt;50)=TRUE,"Columna Larga","Elemento Esbelto")))</f>
        <v>Columna Larga</v>
      </c>
    </row>
    <row r="54" spans="16:27" x14ac:dyDescent="0.2">
      <c r="P54" s="89">
        <v>5</v>
      </c>
      <c r="Q54" s="89">
        <v>9</v>
      </c>
      <c r="R54" s="89">
        <f t="shared" si="3"/>
        <v>45</v>
      </c>
      <c r="S54" s="89">
        <f t="shared" si="0"/>
        <v>303.75</v>
      </c>
      <c r="T54" s="89">
        <f t="shared" si="1"/>
        <v>67.5</v>
      </c>
      <c r="U54" s="89">
        <f>PRODUCT(R54,VLOOKUP($E$3,Parámetros!$O$4:$W$6,8,FALSE))</f>
        <v>3375</v>
      </c>
      <c r="V54" s="104">
        <f>IF(Y54&lt;10,PRODUCT(R54,VLOOKUP($E$3,Parámetros!$O$4:$Y$6,5,FALSE)),IF(AND(10&lt;=Y54,Y54&lt;VLOOKUP($E$3,Parámetros!$O$4:$Y$6,10,FALSE))=TRUE,PRODUCT(VLOOKUP($E$3,Parámetros!$O$4:$Y$6,5,FALSE),R54,1-(Y54/VLOOKUP($E$3,Parámetros!$O$4:$Y$6,10,FALSE))^4/3),IF(AND(VLOOKUP($E$3,Parámetros!$O$4:$Y$6,10,FALSE)&lt;=Y54,Y54&lt;50)=TRUE,PRODUCT(PI()^2,VLOOKUP($E$3,Parámetros!$O$4:$Y$6,3,FALSE),R54,POWER(2.5*Y54^2,-1))," ")))</f>
        <v>7895.6835208714856</v>
      </c>
      <c r="W54" s="89">
        <f>IF(Y54&lt;10,PRODUCT(R54,VLOOKUP($E$3,Parámetros!$O$4:$Y$6,5,FALSE)),IF(AND(10&lt;=Y54,Y54&lt;VLOOKUP($E$3,Parámetros!$O$4:$Y$6,11,FALSE))=TRUE,PRODUCT(VLOOKUP($E$3,Parámetros!$O$4:$Y$6,5,FALSE),R54,1-(Y54/VLOOKUP($E$3,Parámetros!$O$4:$Y$6,11,FALSE))^4/3),IF(AND(VLOOKUP($E$3,Parámetros!$O$4:$Y$6,11,FALSE)&lt;=Y54,Y54&lt;50)=TRUE,PRODUCT(PI()^2,VLOOKUP($E$3,Parámetros!$O$4:$Y$6,3,FALSE),R54,POWER(2.5*Y54^2,-1))," ")))</f>
        <v>7895.6835208714856</v>
      </c>
      <c r="X54" s="104">
        <f>PRODUCT(PI()^2,VLOOKUP($E$3,Parámetros!$O$4:$Y$6,3,FALSE),S54,POWER($I$10*$E$8,-1))</f>
        <v>1199156.934732357</v>
      </c>
      <c r="Y54" s="89">
        <f t="shared" si="2"/>
        <v>45</v>
      </c>
      <c r="Z54" s="103" t="str">
        <f>IF(Y54&lt;10,"Columna Corta",IF(AND(10&lt;=Y54,Y54&lt;VLOOKUP($E$3,Parámetros!$O$4:$Y$6,10,FALSE))=TRUE,"Columna Intermedia",IF(AND(VLOOKUP($E$3,Parámetros!$O$4:$Y$6,10,FALSE)&lt;=Y54,Y54&lt;50)=TRUE,"Columna Larga","Elemento Esbelto")))</f>
        <v>Columna Larga</v>
      </c>
      <c r="AA54" s="81" t="str">
        <f>IF(Y54&lt;10,"Columna Corta",IF(AND(10&lt;=Y54,Y54&lt;VLOOKUP($E$3,Parámetros!$O$4:$Y$6,11,FALSE))=TRUE,"Columna Intermedia",IF(AND(VLOOKUP($E$3,Parámetros!$O$4:$Y$6,11,FALSE)&lt;=Y54,Y54&lt;50)=TRUE,"Columna Larga","Elemento Esbelto")))</f>
        <v>Columna Larga</v>
      </c>
    </row>
    <row r="55" spans="16:27" x14ac:dyDescent="0.2">
      <c r="P55" s="89">
        <v>5</v>
      </c>
      <c r="Q55" s="89">
        <v>14</v>
      </c>
      <c r="R55" s="89">
        <f t="shared" si="3"/>
        <v>70</v>
      </c>
      <c r="S55" s="89">
        <f t="shared" si="0"/>
        <v>1143.3333333333333</v>
      </c>
      <c r="T55" s="89">
        <f t="shared" si="1"/>
        <v>163.33333333333331</v>
      </c>
      <c r="U55" s="89">
        <f>PRODUCT(R55,VLOOKUP($E$3,Parámetros!$O$4:$W$6,8,FALSE))</f>
        <v>5250</v>
      </c>
      <c r="V55" s="104">
        <f>IF(Y55&lt;10,PRODUCT(R55,VLOOKUP($E$3,Parámetros!$O$4:$Y$6,5,FALSE)),IF(AND(10&lt;=Y55,Y55&lt;VLOOKUP($E$3,Parámetros!$O$4:$Y$6,10,FALSE))=TRUE,PRODUCT(VLOOKUP($E$3,Parámetros!$O$4:$Y$6,5,FALSE),R55,1-(Y55/VLOOKUP($E$3,Parámetros!$O$4:$Y$6,10,FALSE))^4/3),IF(AND(VLOOKUP($E$3,Parámetros!$O$4:$Y$6,10,FALSE)&lt;=Y55,Y55&lt;50)=TRUE,PRODUCT(PI()^2,VLOOKUP($E$3,Parámetros!$O$4:$Y$6,3,FALSE),R55,POWER(2.5*Y55^2,-1))," ")))</f>
        <v>12282.174365800091</v>
      </c>
      <c r="W55" s="89">
        <f>IF(Y55&lt;10,PRODUCT(R55,VLOOKUP($E$3,Parámetros!$O$4:$Y$6,5,FALSE)),IF(AND(10&lt;=Y55,Y55&lt;VLOOKUP($E$3,Parámetros!$O$4:$Y$6,11,FALSE))=TRUE,PRODUCT(VLOOKUP($E$3,Parámetros!$O$4:$Y$6,5,FALSE),R55,1-(Y55/VLOOKUP($E$3,Parámetros!$O$4:$Y$6,11,FALSE))^4/3),IF(AND(VLOOKUP($E$3,Parámetros!$O$4:$Y$6,11,FALSE)&lt;=Y55,Y55&lt;50)=TRUE,PRODUCT(PI()^2,VLOOKUP($E$3,Parámetros!$O$4:$Y$6,3,FALSE),R55,POWER(2.5*Y55^2,-1))," ")))</f>
        <v>12282.174365800091</v>
      </c>
      <c r="X55" s="104">
        <f>PRODUCT(PI()^2,VLOOKUP($E$3,Parámetros!$O$4:$Y$6,3,FALSE),S55,POWER($I$10*$E$8,-1))</f>
        <v>4513699.0794315329</v>
      </c>
      <c r="Y55" s="89">
        <f t="shared" si="2"/>
        <v>45</v>
      </c>
      <c r="Z55" s="103" t="str">
        <f>IF(Y55&lt;10,"Columna Corta",IF(AND(10&lt;=Y55,Y55&lt;VLOOKUP($E$3,Parámetros!$O$4:$Y$6,10,FALSE))=TRUE,"Columna Intermedia",IF(AND(VLOOKUP($E$3,Parámetros!$O$4:$Y$6,10,FALSE)&lt;=Y55,Y55&lt;50)=TRUE,"Columna Larga","Elemento Esbelto")))</f>
        <v>Columna Larga</v>
      </c>
      <c r="AA55" s="81" t="str">
        <f>IF(Y55&lt;10,"Columna Corta",IF(AND(10&lt;=Y55,Y55&lt;VLOOKUP($E$3,Parámetros!$O$4:$Y$6,11,FALSE))=TRUE,"Columna Intermedia",IF(AND(VLOOKUP($E$3,Parámetros!$O$4:$Y$6,11,FALSE)&lt;=Y55,Y55&lt;50)=TRUE,"Columna Larga","Elemento Esbelto")))</f>
        <v>Columna Larga</v>
      </c>
    </row>
    <row r="56" spans="16:27" x14ac:dyDescent="0.2">
      <c r="P56" s="89">
        <v>5</v>
      </c>
      <c r="Q56" s="89">
        <v>16.5</v>
      </c>
      <c r="R56" s="89">
        <f t="shared" si="3"/>
        <v>82.5</v>
      </c>
      <c r="S56" s="89">
        <f t="shared" si="0"/>
        <v>1871.71875</v>
      </c>
      <c r="T56" s="89">
        <f t="shared" si="1"/>
        <v>226.875</v>
      </c>
      <c r="U56" s="89">
        <f>PRODUCT(R56,VLOOKUP($E$3,Parámetros!$O$4:$W$6,8,FALSE))</f>
        <v>6187.5</v>
      </c>
      <c r="V56" s="104">
        <f>IF(Y56&lt;10,PRODUCT(R56,VLOOKUP($E$3,Parámetros!$O$4:$Y$6,5,FALSE)),IF(AND(10&lt;=Y56,Y56&lt;VLOOKUP($E$3,Parámetros!$O$4:$Y$6,10,FALSE))=TRUE,PRODUCT(VLOOKUP($E$3,Parámetros!$O$4:$Y$6,5,FALSE),R56,1-(Y56/VLOOKUP($E$3,Parámetros!$O$4:$Y$6,10,FALSE))^4/3),IF(AND(VLOOKUP($E$3,Parámetros!$O$4:$Y$6,10,FALSE)&lt;=Y56,Y56&lt;50)=TRUE,PRODUCT(PI()^2,VLOOKUP($E$3,Parámetros!$O$4:$Y$6,3,FALSE),R56,POWER(2.5*Y56^2,-1))," ")))</f>
        <v>14475.419788264391</v>
      </c>
      <c r="W56" s="89">
        <f>IF(Y56&lt;10,PRODUCT(R56,VLOOKUP($E$3,Parámetros!$O$4:$Y$6,5,FALSE)),IF(AND(10&lt;=Y56,Y56&lt;VLOOKUP($E$3,Parámetros!$O$4:$Y$6,11,FALSE))=TRUE,PRODUCT(VLOOKUP($E$3,Parámetros!$O$4:$Y$6,5,FALSE),R56,1-(Y56/VLOOKUP($E$3,Parámetros!$O$4:$Y$6,11,FALSE))^4/3),IF(AND(VLOOKUP($E$3,Parámetros!$O$4:$Y$6,11,FALSE)&lt;=Y56,Y56&lt;50)=TRUE,PRODUCT(PI()^2,VLOOKUP($E$3,Parámetros!$O$4:$Y$6,3,FALSE),R56,POWER(2.5*Y56^2,-1))," ")))</f>
        <v>14475.419788264391</v>
      </c>
      <c r="X56" s="104">
        <f>PRODUCT(PI()^2,VLOOKUP($E$3,Parámetros!$O$4:$Y$6,3,FALSE),S56,POWER($I$10*$E$8,-1))</f>
        <v>7389249.4450405892</v>
      </c>
      <c r="Y56" s="89">
        <f t="shared" si="2"/>
        <v>45</v>
      </c>
      <c r="Z56" s="103" t="str">
        <f>IF(Y56&lt;10,"Columna Corta",IF(AND(10&lt;=Y56,Y56&lt;VLOOKUP($E$3,Parámetros!$O$4:$Y$6,10,FALSE))=TRUE,"Columna Intermedia",IF(AND(VLOOKUP($E$3,Parámetros!$O$4:$Y$6,10,FALSE)&lt;=Y56,Y56&lt;50)=TRUE,"Columna Larga","Elemento Esbelto")))</f>
        <v>Columna Larga</v>
      </c>
      <c r="AA56" s="81" t="str">
        <f>IF(Y56&lt;10,"Columna Corta",IF(AND(10&lt;=Y56,Y56&lt;VLOOKUP($E$3,Parámetros!$O$4:$Y$6,11,FALSE))=TRUE,"Columna Intermedia",IF(AND(VLOOKUP($E$3,Parámetros!$O$4:$Y$6,11,FALSE)&lt;=Y56,Y56&lt;50)=TRUE,"Columna Larga","Elemento Esbelto")))</f>
        <v>Columna Larga</v>
      </c>
    </row>
    <row r="57" spans="16:27" x14ac:dyDescent="0.2">
      <c r="P57" s="89">
        <v>5</v>
      </c>
      <c r="Q57" s="89">
        <v>19</v>
      </c>
      <c r="R57" s="89">
        <f t="shared" si="3"/>
        <v>95</v>
      </c>
      <c r="S57" s="89">
        <f t="shared" si="0"/>
        <v>2857.9166666666665</v>
      </c>
      <c r="T57" s="89">
        <f t="shared" si="1"/>
        <v>300.83333333333331</v>
      </c>
      <c r="U57" s="89">
        <f>PRODUCT(R57,VLOOKUP($E$3,Parámetros!$O$4:$W$6,8,FALSE))</f>
        <v>7125</v>
      </c>
      <c r="V57" s="104">
        <f>IF(Y57&lt;10,PRODUCT(R57,VLOOKUP($E$3,Parámetros!$O$4:$Y$6,5,FALSE)),IF(AND(10&lt;=Y57,Y57&lt;VLOOKUP($E$3,Parámetros!$O$4:$Y$6,10,FALSE))=TRUE,PRODUCT(VLOOKUP($E$3,Parámetros!$O$4:$Y$6,5,FALSE),R57,1-(Y57/VLOOKUP($E$3,Parámetros!$O$4:$Y$6,10,FALSE))^4/3),IF(AND(VLOOKUP($E$3,Parámetros!$O$4:$Y$6,10,FALSE)&lt;=Y57,Y57&lt;50)=TRUE,PRODUCT(PI()^2,VLOOKUP($E$3,Parámetros!$O$4:$Y$6,3,FALSE),R57,POWER(2.5*Y57^2,-1))," ")))</f>
        <v>16668.665210728694</v>
      </c>
      <c r="W57" s="89">
        <f>IF(Y57&lt;10,PRODUCT(R57,VLOOKUP($E$3,Parámetros!$O$4:$Y$6,5,FALSE)),IF(AND(10&lt;=Y57,Y57&lt;VLOOKUP($E$3,Parámetros!$O$4:$Y$6,11,FALSE))=TRUE,PRODUCT(VLOOKUP($E$3,Parámetros!$O$4:$Y$6,5,FALSE),R57,1-(Y57/VLOOKUP($E$3,Parámetros!$O$4:$Y$6,11,FALSE))^4/3),IF(AND(VLOOKUP($E$3,Parámetros!$O$4:$Y$6,11,FALSE)&lt;=Y57,Y57&lt;50)=TRUE,PRODUCT(PI()^2,VLOOKUP($E$3,Parámetros!$O$4:$Y$6,3,FALSE),R57,POWER(2.5*Y57^2,-1))," ")))</f>
        <v>16668.665210728694</v>
      </c>
      <c r="X57" s="104">
        <f>PRODUCT(PI()^2,VLOOKUP($E$3,Parámetros!$O$4:$Y$6,3,FALSE),S57,POWER($I$10*$E$8,-1))</f>
        <v>11282602.764511984</v>
      </c>
      <c r="Y57" s="89">
        <f t="shared" si="2"/>
        <v>45</v>
      </c>
      <c r="Z57" s="103" t="str">
        <f>IF(Y57&lt;10,"Columna Corta",IF(AND(10&lt;=Y57,Y57&lt;VLOOKUP($E$3,Parámetros!$O$4:$Y$6,10,FALSE))=TRUE,"Columna Intermedia",IF(AND(VLOOKUP($E$3,Parámetros!$O$4:$Y$6,10,FALSE)&lt;=Y57,Y57&lt;50)=TRUE,"Columna Larga","Elemento Esbelto")))</f>
        <v>Columna Larga</v>
      </c>
      <c r="AA57" s="81" t="str">
        <f>IF(Y57&lt;10,"Columna Corta",IF(AND(10&lt;=Y57,Y57&lt;VLOOKUP($E$3,Parámetros!$O$4:$Y$6,11,FALSE))=TRUE,"Columna Intermedia",IF(AND(VLOOKUP($E$3,Parámetros!$O$4:$Y$6,11,FALSE)&lt;=Y57,Y57&lt;50)=TRUE,"Columna Larga","Elemento Esbelto")))</f>
        <v>Columna Larga</v>
      </c>
    </row>
    <row r="58" spans="16:27" x14ac:dyDescent="0.2">
      <c r="P58" s="89">
        <v>5</v>
      </c>
      <c r="Q58" s="89">
        <v>24</v>
      </c>
      <c r="R58" s="89">
        <f t="shared" si="3"/>
        <v>120</v>
      </c>
      <c r="S58" s="89">
        <f t="shared" si="0"/>
        <v>5760</v>
      </c>
      <c r="T58" s="89">
        <f t="shared" si="1"/>
        <v>480</v>
      </c>
      <c r="U58" s="89">
        <f>PRODUCT(R58,VLOOKUP($E$3,Parámetros!$O$4:$W$6,8,FALSE))</f>
        <v>9000</v>
      </c>
      <c r="V58" s="104">
        <f>IF(Y58&lt;10,PRODUCT(R58,VLOOKUP($E$3,Parámetros!$O$4:$Y$6,5,FALSE)),IF(AND(10&lt;=Y58,Y58&lt;VLOOKUP($E$3,Parámetros!$O$4:$Y$6,10,FALSE))=TRUE,PRODUCT(VLOOKUP($E$3,Parámetros!$O$4:$Y$6,5,FALSE),R58,1-(Y58/VLOOKUP($E$3,Parámetros!$O$4:$Y$6,10,FALSE))^4/3),IF(AND(VLOOKUP($E$3,Parámetros!$O$4:$Y$6,10,FALSE)&lt;=Y58,Y58&lt;50)=TRUE,PRODUCT(PI()^2,VLOOKUP($E$3,Parámetros!$O$4:$Y$6,3,FALSE),R58,POWER(2.5*Y58^2,-1))," ")))</f>
        <v>21055.156055657299</v>
      </c>
      <c r="W58" s="89">
        <f>IF(Y58&lt;10,PRODUCT(R58,VLOOKUP($E$3,Parámetros!$O$4:$Y$6,5,FALSE)),IF(AND(10&lt;=Y58,Y58&lt;VLOOKUP($E$3,Parámetros!$O$4:$Y$6,11,FALSE))=TRUE,PRODUCT(VLOOKUP($E$3,Parámetros!$O$4:$Y$6,5,FALSE),R58,1-(Y58/VLOOKUP($E$3,Parámetros!$O$4:$Y$6,11,FALSE))^4/3),IF(AND(VLOOKUP($E$3,Parámetros!$O$4:$Y$6,11,FALSE)&lt;=Y58,Y58&lt;50)=TRUE,PRODUCT(PI()^2,VLOOKUP($E$3,Parámetros!$O$4:$Y$6,3,FALSE),R58,POWER(2.5*Y58^2,-1))," ")))</f>
        <v>21055.156055657299</v>
      </c>
      <c r="X58" s="104">
        <f>PRODUCT(PI()^2,VLOOKUP($E$3,Parámetros!$O$4:$Y$6,3,FALSE),S58,POWER($I$10*$E$8,-1))</f>
        <v>22739568.54010988</v>
      </c>
      <c r="Y58" s="89">
        <f t="shared" si="2"/>
        <v>45</v>
      </c>
      <c r="Z58" s="103" t="str">
        <f>IF(Y58&lt;10,"Columna Corta",IF(AND(10&lt;=Y58,Y58&lt;VLOOKUP($E$3,Parámetros!$O$4:$Y$6,10,FALSE))=TRUE,"Columna Intermedia",IF(AND(VLOOKUP($E$3,Parámetros!$O$4:$Y$6,10,FALSE)&lt;=Y58,Y58&lt;50)=TRUE,"Columna Larga","Elemento Esbelto")))</f>
        <v>Columna Larga</v>
      </c>
      <c r="AA58" s="81" t="str">
        <f>IF(Y58&lt;10,"Columna Corta",IF(AND(10&lt;=Y58,Y58&lt;VLOOKUP($E$3,Parámetros!$O$4:$Y$6,11,FALSE))=TRUE,"Columna Intermedia",IF(AND(VLOOKUP($E$3,Parámetros!$O$4:$Y$6,11,FALSE)&lt;=Y58,Y58&lt;50)=TRUE,"Columna Larga","Elemento Esbelto")))</f>
        <v>Columna Larga</v>
      </c>
    </row>
    <row r="59" spans="16:27" x14ac:dyDescent="0.2">
      <c r="P59" s="89">
        <v>5</v>
      </c>
      <c r="Q59" s="89">
        <v>29</v>
      </c>
      <c r="R59" s="89">
        <f t="shared" si="3"/>
        <v>145</v>
      </c>
      <c r="S59" s="89">
        <f t="shared" si="0"/>
        <v>10162.083333333332</v>
      </c>
      <c r="T59" s="89">
        <f t="shared" si="1"/>
        <v>700.83333333333326</v>
      </c>
      <c r="U59" s="89">
        <f>PRODUCT(R59,VLOOKUP($E$3,Parámetros!$O$4:$W$6,8,FALSE))</f>
        <v>10875</v>
      </c>
      <c r="V59" s="104">
        <f>IF(Y59&lt;10,PRODUCT(R59,VLOOKUP($E$3,Parámetros!$O$4:$Y$6,5,FALSE)),IF(AND(10&lt;=Y59,Y59&lt;VLOOKUP($E$3,Parámetros!$O$4:$Y$6,10,FALSE))=TRUE,PRODUCT(VLOOKUP($E$3,Parámetros!$O$4:$Y$6,5,FALSE),R59,1-(Y59/VLOOKUP($E$3,Parámetros!$O$4:$Y$6,10,FALSE))^4/3),IF(AND(VLOOKUP($E$3,Parámetros!$O$4:$Y$6,10,FALSE)&lt;=Y59,Y59&lt;50)=TRUE,PRODUCT(PI()^2,VLOOKUP($E$3,Parámetros!$O$4:$Y$6,3,FALSE),R59,POWER(2.5*Y59^2,-1))," ")))</f>
        <v>25441.6469005859</v>
      </c>
      <c r="W59" s="89">
        <f>IF(Y59&lt;10,PRODUCT(R59,VLOOKUP($E$3,Parámetros!$O$4:$Y$6,5,FALSE)),IF(AND(10&lt;=Y59,Y59&lt;VLOOKUP($E$3,Parámetros!$O$4:$Y$6,11,FALSE))=TRUE,PRODUCT(VLOOKUP($E$3,Parámetros!$O$4:$Y$6,5,FALSE),R59,1-(Y59/VLOOKUP($E$3,Parámetros!$O$4:$Y$6,11,FALSE))^4/3),IF(AND(VLOOKUP($E$3,Parámetros!$O$4:$Y$6,11,FALSE)&lt;=Y59,Y59&lt;50)=TRUE,PRODUCT(PI()^2,VLOOKUP($E$3,Parámetros!$O$4:$Y$6,3,FALSE),R59,POWER(2.5*Y59^2,-1))," ")))</f>
        <v>25441.6469005859</v>
      </c>
      <c r="X59" s="104">
        <f>PRODUCT(PI()^2,VLOOKUP($E$3,Parámetros!$O$4:$Y$6,3,FALSE),S59,POWER($I$10*$E$8,-1))</f>
        <v>40118296.956361391</v>
      </c>
      <c r="Y59" s="89">
        <f t="shared" si="2"/>
        <v>45</v>
      </c>
      <c r="Z59" s="103" t="str">
        <f>IF(Y59&lt;10,"Columna Corta",IF(AND(10&lt;=Y59,Y59&lt;VLOOKUP($E$3,Parámetros!$O$4:$Y$6,10,FALSE))=TRUE,"Columna Intermedia",IF(AND(VLOOKUP($E$3,Parámetros!$O$4:$Y$6,10,FALSE)&lt;=Y59,Y59&lt;50)=TRUE,"Columna Larga","Elemento Esbelto")))</f>
        <v>Columna Larga</v>
      </c>
      <c r="AA59" s="81" t="str">
        <f>IF(Y59&lt;10,"Columna Corta",IF(AND(10&lt;=Y59,Y59&lt;VLOOKUP($E$3,Parámetros!$O$4:$Y$6,11,FALSE))=TRUE,"Columna Intermedia",IF(AND(VLOOKUP($E$3,Parámetros!$O$4:$Y$6,11,FALSE)&lt;=Y59,Y59&lt;50)=TRUE,"Columna Larga","Elemento Esbelto")))</f>
        <v>Columna Larga</v>
      </c>
    </row>
    <row r="60" spans="16:27" x14ac:dyDescent="0.2">
      <c r="P60" s="89">
        <v>6.5</v>
      </c>
      <c r="Q60" s="89">
        <v>6.5</v>
      </c>
      <c r="R60" s="89">
        <f t="shared" si="3"/>
        <v>42.25</v>
      </c>
      <c r="S60" s="89">
        <f t="shared" si="0"/>
        <v>148.75520833333331</v>
      </c>
      <c r="T60" s="89">
        <f t="shared" si="1"/>
        <v>45.770833333333329</v>
      </c>
      <c r="U60" s="89">
        <f>PRODUCT(R60,VLOOKUP($E$3,Parámetros!$O$4:$W$6,8,FALSE))</f>
        <v>3168.75</v>
      </c>
      <c r="V60" s="104">
        <f>IF(Y60&lt;10,PRODUCT(R60,VLOOKUP($E$3,Parámetros!$O$4:$Y$6,5,FALSE)),IF(AND(10&lt;=Y60,Y60&lt;VLOOKUP($E$3,Parámetros!$O$4:$Y$6,10,FALSE))=TRUE,PRODUCT(VLOOKUP($E$3,Parámetros!$O$4:$Y$6,5,FALSE),R60,1-(Y60/VLOOKUP($E$3,Parámetros!$O$4:$Y$6,10,FALSE))^4/3),IF(AND(VLOOKUP($E$3,Parámetros!$O$4:$Y$6,10,FALSE)&lt;=Y60,Y60&lt;50)=TRUE,PRODUCT(PI()^2,VLOOKUP($E$3,Parámetros!$O$4:$Y$6,3,FALSE),R60,POWER(2.5*Y60^2,-1))," ")))</f>
        <v>12528.25650220058</v>
      </c>
      <c r="W60" s="89">
        <f>IF(Y60&lt;10,PRODUCT(R60,VLOOKUP($E$3,Parámetros!$O$4:$Y$6,5,FALSE)),IF(AND(10&lt;=Y60,Y60&lt;VLOOKUP($E$3,Parámetros!$O$4:$Y$6,11,FALSE))=TRUE,PRODUCT(VLOOKUP($E$3,Parámetros!$O$4:$Y$6,5,FALSE),R60,1-(Y60/VLOOKUP($E$3,Parámetros!$O$4:$Y$6,11,FALSE))^4/3),IF(AND(VLOOKUP($E$3,Parámetros!$O$4:$Y$6,11,FALSE)&lt;=Y60,Y60&lt;50)=TRUE,PRODUCT(PI()^2,VLOOKUP($E$3,Parámetros!$O$4:$Y$6,3,FALSE),R60,POWER(2.5*Y60^2,-1))," ")))</f>
        <v>12528.25650220058</v>
      </c>
      <c r="X60" s="104">
        <f>PRODUCT(PI()^2,VLOOKUP($E$3,Parámetros!$O$4:$Y$6,3,FALSE),S60,POWER($I$10*$E$8,-1))</f>
        <v>587262.02354065236</v>
      </c>
      <c r="Y60" s="104">
        <f t="shared" si="2"/>
        <v>34.61538461538462</v>
      </c>
      <c r="Z60" s="103" t="str">
        <f>IF(Y60&lt;10,"Columna Corta",IF(AND(10&lt;=Y60,Y60&lt;VLOOKUP($E$3,Parámetros!$O$4:$Y$6,10,FALSE))=TRUE,"Columna Intermedia",IF(AND(VLOOKUP($E$3,Parámetros!$O$4:$Y$6,10,FALSE)&lt;=Y60,Y60&lt;50)=TRUE,"Columna Larga","Elemento Esbelto")))</f>
        <v>Columna Larga</v>
      </c>
      <c r="AA60" s="81" t="str">
        <f>IF(Y60&lt;10,"Columna Corta",IF(AND(10&lt;=Y60,Y60&lt;VLOOKUP($E$3,Parámetros!$O$4:$Y$6,11,FALSE))=TRUE,"Columna Intermedia",IF(AND(VLOOKUP($E$3,Parámetros!$O$4:$Y$6,11,FALSE)&lt;=Y60,Y60&lt;50)=TRUE,"Columna Larga","Elemento Esbelto")))</f>
        <v>Columna Larga</v>
      </c>
    </row>
    <row r="61" spans="16:27" x14ac:dyDescent="0.2">
      <c r="P61" s="89">
        <v>6.5</v>
      </c>
      <c r="Q61" s="89">
        <v>9</v>
      </c>
      <c r="R61" s="89">
        <f t="shared" si="3"/>
        <v>58.5</v>
      </c>
      <c r="S61" s="89">
        <f t="shared" si="0"/>
        <v>394.875</v>
      </c>
      <c r="T61" s="89">
        <f t="shared" si="1"/>
        <v>87.75</v>
      </c>
      <c r="U61" s="89">
        <f>PRODUCT(R61,VLOOKUP($E$3,Parámetros!$O$4:$W$6,8,FALSE))</f>
        <v>4387.5</v>
      </c>
      <c r="V61" s="104">
        <f>IF(Y61&lt;10,PRODUCT(R61,VLOOKUP($E$3,Parámetros!$O$4:$Y$6,5,FALSE)),IF(AND(10&lt;=Y61,Y61&lt;VLOOKUP($E$3,Parámetros!$O$4:$Y$6,10,FALSE))=TRUE,PRODUCT(VLOOKUP($E$3,Parámetros!$O$4:$Y$6,5,FALSE),R61,1-(Y61/VLOOKUP($E$3,Parámetros!$O$4:$Y$6,10,FALSE))^4/3),IF(AND(VLOOKUP($E$3,Parámetros!$O$4:$Y$6,10,FALSE)&lt;=Y61,Y61&lt;50)=TRUE,PRODUCT(PI()^2,VLOOKUP($E$3,Parámetros!$O$4:$Y$6,3,FALSE),R61,POWER(2.5*Y61^2,-1))," ")))</f>
        <v>17346.81669535465</v>
      </c>
      <c r="W61" s="89">
        <f>IF(Y61&lt;10,PRODUCT(R61,VLOOKUP($E$3,Parámetros!$O$4:$Y$6,5,FALSE)),IF(AND(10&lt;=Y61,Y61&lt;VLOOKUP($E$3,Parámetros!$O$4:$Y$6,11,FALSE))=TRUE,PRODUCT(VLOOKUP($E$3,Parámetros!$O$4:$Y$6,5,FALSE),R61,1-(Y61/VLOOKUP($E$3,Parámetros!$O$4:$Y$6,11,FALSE))^4/3),IF(AND(VLOOKUP($E$3,Parámetros!$O$4:$Y$6,11,FALSE)&lt;=Y61,Y61&lt;50)=TRUE,PRODUCT(PI()^2,VLOOKUP($E$3,Parámetros!$O$4:$Y$6,3,FALSE),R61,POWER(2.5*Y61^2,-1))," ")))</f>
        <v>17346.81669535465</v>
      </c>
      <c r="X61" s="104">
        <f>PRODUCT(PI()^2,VLOOKUP($E$3,Parámetros!$O$4:$Y$6,3,FALSE),S61,POWER($I$10*$E$8,-1))</f>
        <v>1558904.0151520642</v>
      </c>
      <c r="Y61" s="104">
        <f t="shared" si="2"/>
        <v>34.61538461538462</v>
      </c>
      <c r="Z61" s="103" t="str">
        <f>IF(Y61&lt;10,"Columna Corta",IF(AND(10&lt;=Y61,Y61&lt;VLOOKUP($E$3,Parámetros!$O$4:$Y$6,10,FALSE))=TRUE,"Columna Intermedia",IF(AND(VLOOKUP($E$3,Parámetros!$O$4:$Y$6,10,FALSE)&lt;=Y61,Y61&lt;50)=TRUE,"Columna Larga","Elemento Esbelto")))</f>
        <v>Columna Larga</v>
      </c>
      <c r="AA61" s="81" t="str">
        <f>IF(Y61&lt;10,"Columna Corta",IF(AND(10&lt;=Y61,Y61&lt;VLOOKUP($E$3,Parámetros!$O$4:$Y$6,11,FALSE))=TRUE,"Columna Intermedia",IF(AND(VLOOKUP($E$3,Parámetros!$O$4:$Y$6,11,FALSE)&lt;=Y61,Y61&lt;50)=TRUE,"Columna Larga","Elemento Esbelto")))</f>
        <v>Columna Larga</v>
      </c>
    </row>
    <row r="62" spans="16:27" x14ac:dyDescent="0.2">
      <c r="P62" s="89">
        <v>6.5</v>
      </c>
      <c r="Q62" s="89">
        <v>14</v>
      </c>
      <c r="R62" s="89">
        <f t="shared" si="3"/>
        <v>91</v>
      </c>
      <c r="S62" s="89">
        <f t="shared" si="0"/>
        <v>1486.3333333333333</v>
      </c>
      <c r="T62" s="89">
        <f t="shared" si="1"/>
        <v>212.33333333333331</v>
      </c>
      <c r="U62" s="89">
        <f>PRODUCT(R62,VLOOKUP($E$3,Parámetros!$O$4:$W$6,8,FALSE))</f>
        <v>6825</v>
      </c>
      <c r="V62" s="104">
        <f>IF(Y62&lt;10,PRODUCT(R62,VLOOKUP($E$3,Parámetros!$O$4:$Y$6,5,FALSE)),IF(AND(10&lt;=Y62,Y62&lt;VLOOKUP($E$3,Parámetros!$O$4:$Y$6,10,FALSE))=TRUE,PRODUCT(VLOOKUP($E$3,Parámetros!$O$4:$Y$6,5,FALSE),R62,1-(Y62/VLOOKUP($E$3,Parámetros!$O$4:$Y$6,10,FALSE))^4/3),IF(AND(VLOOKUP($E$3,Parámetros!$O$4:$Y$6,10,FALSE)&lt;=Y62,Y62&lt;50)=TRUE,PRODUCT(PI()^2,VLOOKUP($E$3,Parámetros!$O$4:$Y$6,3,FALSE),R62,POWER(2.5*Y62^2,-1))," ")))</f>
        <v>26983.937081662789</v>
      </c>
      <c r="W62" s="89">
        <f>IF(Y62&lt;10,PRODUCT(R62,VLOOKUP($E$3,Parámetros!$O$4:$Y$6,5,FALSE)),IF(AND(10&lt;=Y62,Y62&lt;VLOOKUP($E$3,Parámetros!$O$4:$Y$6,11,FALSE))=TRUE,PRODUCT(VLOOKUP($E$3,Parámetros!$O$4:$Y$6,5,FALSE),R62,1-(Y62/VLOOKUP($E$3,Parámetros!$O$4:$Y$6,11,FALSE))^4/3),IF(AND(VLOOKUP($E$3,Parámetros!$O$4:$Y$6,11,FALSE)&lt;=Y62,Y62&lt;50)=TRUE,PRODUCT(PI()^2,VLOOKUP($E$3,Parámetros!$O$4:$Y$6,3,FALSE),R62,POWER(2.5*Y62^2,-1))," ")))</f>
        <v>26983.937081662789</v>
      </c>
      <c r="X62" s="104">
        <f>PRODUCT(PI()^2,VLOOKUP($E$3,Parámetros!$O$4:$Y$6,3,FALSE),S62,POWER($I$10*$E$8,-1))</f>
        <v>5867808.8032609932</v>
      </c>
      <c r="Y62" s="104">
        <f t="shared" si="2"/>
        <v>34.61538461538462</v>
      </c>
      <c r="Z62" s="103" t="str">
        <f>IF(Y62&lt;10,"Columna Corta",IF(AND(10&lt;=Y62,Y62&lt;VLOOKUP($E$3,Parámetros!$O$4:$Y$6,10,FALSE))=TRUE,"Columna Intermedia",IF(AND(VLOOKUP($E$3,Parámetros!$O$4:$Y$6,10,FALSE)&lt;=Y62,Y62&lt;50)=TRUE,"Columna Larga","Elemento Esbelto")))</f>
        <v>Columna Larga</v>
      </c>
      <c r="AA62" s="81" t="str">
        <f>IF(Y62&lt;10,"Columna Corta",IF(AND(10&lt;=Y62,Y62&lt;VLOOKUP($E$3,Parámetros!$O$4:$Y$6,11,FALSE))=TRUE,"Columna Intermedia",IF(AND(VLOOKUP($E$3,Parámetros!$O$4:$Y$6,11,FALSE)&lt;=Y62,Y62&lt;50)=TRUE,"Columna Larga","Elemento Esbelto")))</f>
        <v>Columna Larga</v>
      </c>
    </row>
    <row r="63" spans="16:27" x14ac:dyDescent="0.2">
      <c r="P63" s="89">
        <v>6.5</v>
      </c>
      <c r="Q63" s="89">
        <v>16.5</v>
      </c>
      <c r="R63" s="89">
        <f t="shared" si="3"/>
        <v>107.25</v>
      </c>
      <c r="S63" s="89">
        <f t="shared" si="0"/>
        <v>2433.234375</v>
      </c>
      <c r="T63" s="89">
        <f t="shared" si="1"/>
        <v>294.9375</v>
      </c>
      <c r="U63" s="89">
        <f>PRODUCT(R63,VLOOKUP($E$3,Parámetros!$O$4:$W$6,8,FALSE))</f>
        <v>8043.75</v>
      </c>
      <c r="V63" s="104">
        <f>IF(Y63&lt;10,PRODUCT(R63,VLOOKUP($E$3,Parámetros!$O$4:$Y$6,5,FALSE)),IF(AND(10&lt;=Y63,Y63&lt;VLOOKUP($E$3,Parámetros!$O$4:$Y$6,10,FALSE))=TRUE,PRODUCT(VLOOKUP($E$3,Parámetros!$O$4:$Y$6,5,FALSE),R63,1-(Y63/VLOOKUP($E$3,Parámetros!$O$4:$Y$6,10,FALSE))^4/3),IF(AND(VLOOKUP($E$3,Parámetros!$O$4:$Y$6,10,FALSE)&lt;=Y63,Y63&lt;50)=TRUE,PRODUCT(PI()^2,VLOOKUP($E$3,Parámetros!$O$4:$Y$6,3,FALSE),R63,POWER(2.5*Y63^2,-1))," ")))</f>
        <v>31802.497274816858</v>
      </c>
      <c r="W63" s="89">
        <f>IF(Y63&lt;10,PRODUCT(R63,VLOOKUP($E$3,Parámetros!$O$4:$Y$6,5,FALSE)),IF(AND(10&lt;=Y63,Y63&lt;VLOOKUP($E$3,Parámetros!$O$4:$Y$6,11,FALSE))=TRUE,PRODUCT(VLOOKUP($E$3,Parámetros!$O$4:$Y$6,5,FALSE),R63,1-(Y63/VLOOKUP($E$3,Parámetros!$O$4:$Y$6,11,FALSE))^4/3),IF(AND(VLOOKUP($E$3,Parámetros!$O$4:$Y$6,11,FALSE)&lt;=Y63,Y63&lt;50)=TRUE,PRODUCT(PI()^2,VLOOKUP($E$3,Parámetros!$O$4:$Y$6,3,FALSE),R63,POWER(2.5*Y63^2,-1))," ")))</f>
        <v>31802.497274816858</v>
      </c>
      <c r="X63" s="104">
        <f>PRODUCT(PI()^2,VLOOKUP($E$3,Parámetros!$O$4:$Y$6,3,FALSE),S63,POWER($I$10*$E$8,-1))</f>
        <v>9606024.278552765</v>
      </c>
      <c r="Y63" s="104">
        <f t="shared" si="2"/>
        <v>34.61538461538462</v>
      </c>
      <c r="Z63" s="103" t="str">
        <f>IF(Y63&lt;10,"Columna Corta",IF(AND(10&lt;=Y63,Y63&lt;VLOOKUP($E$3,Parámetros!$O$4:$Y$6,10,FALSE))=TRUE,"Columna Intermedia",IF(AND(VLOOKUP($E$3,Parámetros!$O$4:$Y$6,10,FALSE)&lt;=Y63,Y63&lt;50)=TRUE,"Columna Larga","Elemento Esbelto")))</f>
        <v>Columna Larga</v>
      </c>
      <c r="AA63" s="81" t="str">
        <f>IF(Y63&lt;10,"Columna Corta",IF(AND(10&lt;=Y63,Y63&lt;VLOOKUP($E$3,Parámetros!$O$4:$Y$6,11,FALSE))=TRUE,"Columna Intermedia",IF(AND(VLOOKUP($E$3,Parámetros!$O$4:$Y$6,11,FALSE)&lt;=Y63,Y63&lt;50)=TRUE,"Columna Larga","Elemento Esbelto")))</f>
        <v>Columna Larga</v>
      </c>
    </row>
    <row r="64" spans="16:27" x14ac:dyDescent="0.2">
      <c r="P64" s="89">
        <v>6.5</v>
      </c>
      <c r="Q64" s="89">
        <v>19</v>
      </c>
      <c r="R64" s="89">
        <f t="shared" si="3"/>
        <v>123.5</v>
      </c>
      <c r="S64" s="89">
        <f t="shared" si="0"/>
        <v>3715.2916666666665</v>
      </c>
      <c r="T64" s="89">
        <f t="shared" si="1"/>
        <v>391.08333333333331</v>
      </c>
      <c r="U64" s="89">
        <f>PRODUCT(R64,VLOOKUP($E$3,Parámetros!$O$4:$W$6,8,FALSE))</f>
        <v>9262.5</v>
      </c>
      <c r="V64" s="104">
        <f>IF(Y64&lt;10,PRODUCT(R64,VLOOKUP($E$3,Parámetros!$O$4:$Y$6,5,FALSE)),IF(AND(10&lt;=Y64,Y64&lt;VLOOKUP($E$3,Parámetros!$O$4:$Y$6,10,FALSE))=TRUE,PRODUCT(VLOOKUP($E$3,Parámetros!$O$4:$Y$6,5,FALSE),R64,1-(Y64/VLOOKUP($E$3,Parámetros!$O$4:$Y$6,10,FALSE))^4/3),IF(AND(VLOOKUP($E$3,Parámetros!$O$4:$Y$6,10,FALSE)&lt;=Y64,Y64&lt;50)=TRUE,PRODUCT(PI()^2,VLOOKUP($E$3,Parámetros!$O$4:$Y$6,3,FALSE),R64,POWER(2.5*Y64^2,-1))," ")))</f>
        <v>36621.057467970932</v>
      </c>
      <c r="W64" s="89">
        <f>IF(Y64&lt;10,PRODUCT(R64,VLOOKUP($E$3,Parámetros!$O$4:$Y$6,5,FALSE)),IF(AND(10&lt;=Y64,Y64&lt;VLOOKUP($E$3,Parámetros!$O$4:$Y$6,11,FALSE))=TRUE,PRODUCT(VLOOKUP($E$3,Parámetros!$O$4:$Y$6,5,FALSE),R64,1-(Y64/VLOOKUP($E$3,Parámetros!$O$4:$Y$6,11,FALSE))^4/3),IF(AND(VLOOKUP($E$3,Parámetros!$O$4:$Y$6,11,FALSE)&lt;=Y64,Y64&lt;50)=TRUE,PRODUCT(PI()^2,VLOOKUP($E$3,Parámetros!$O$4:$Y$6,3,FALSE),R64,POWER(2.5*Y64^2,-1))," ")))</f>
        <v>36621.057467970932</v>
      </c>
      <c r="X64" s="104">
        <f>PRODUCT(PI()^2,VLOOKUP($E$3,Parámetros!$O$4:$Y$6,3,FALSE),S64,POWER($I$10*$E$8,-1))</f>
        <v>14667383.593865579</v>
      </c>
      <c r="Y64" s="104">
        <f t="shared" si="2"/>
        <v>34.61538461538462</v>
      </c>
      <c r="Z64" s="103" t="str">
        <f>IF(Y64&lt;10,"Columna Corta",IF(AND(10&lt;=Y64,Y64&lt;VLOOKUP($E$3,Parámetros!$O$4:$Y$6,10,FALSE))=TRUE,"Columna Intermedia",IF(AND(VLOOKUP($E$3,Parámetros!$O$4:$Y$6,10,FALSE)&lt;=Y64,Y64&lt;50)=TRUE,"Columna Larga","Elemento Esbelto")))</f>
        <v>Columna Larga</v>
      </c>
      <c r="AA64" s="81" t="str">
        <f>IF(Y64&lt;10,"Columna Corta",IF(AND(10&lt;=Y64,Y64&lt;VLOOKUP($E$3,Parámetros!$O$4:$Y$6,11,FALSE))=TRUE,"Columna Intermedia",IF(AND(VLOOKUP($E$3,Parámetros!$O$4:$Y$6,11,FALSE)&lt;=Y64,Y64&lt;50)=TRUE,"Columna Larga","Elemento Esbelto")))</f>
        <v>Columna Larga</v>
      </c>
    </row>
    <row r="65" spans="16:27" x14ac:dyDescent="0.2">
      <c r="P65" s="89">
        <v>6.5</v>
      </c>
      <c r="Q65" s="89">
        <v>24</v>
      </c>
      <c r="R65" s="89">
        <f t="shared" si="3"/>
        <v>156</v>
      </c>
      <c r="S65" s="89">
        <f t="shared" si="0"/>
        <v>7488</v>
      </c>
      <c r="T65" s="89">
        <f t="shared" si="1"/>
        <v>624</v>
      </c>
      <c r="U65" s="89">
        <f>PRODUCT(R65,VLOOKUP($E$3,Parámetros!$O$4:$W$6,8,FALSE))</f>
        <v>11700</v>
      </c>
      <c r="V65" s="104">
        <f>IF(Y65&lt;10,PRODUCT(R65,VLOOKUP($E$3,Parámetros!$O$4:$Y$6,5,FALSE)),IF(AND(10&lt;=Y65,Y65&lt;VLOOKUP($E$3,Parámetros!$O$4:$Y$6,10,FALSE))=TRUE,PRODUCT(VLOOKUP($E$3,Parámetros!$O$4:$Y$6,5,FALSE),R65,1-(Y65/VLOOKUP($E$3,Parámetros!$O$4:$Y$6,10,FALSE))^4/3),IF(AND(VLOOKUP($E$3,Parámetros!$O$4:$Y$6,10,FALSE)&lt;=Y65,Y65&lt;50)=TRUE,PRODUCT(PI()^2,VLOOKUP($E$3,Parámetros!$O$4:$Y$6,3,FALSE),R65,POWER(2.5*Y65^2,-1))," ")))</f>
        <v>46258.177854279071</v>
      </c>
      <c r="W65" s="89">
        <f>IF(Y65&lt;10,PRODUCT(R65,VLOOKUP($E$3,Parámetros!$O$4:$Y$6,5,FALSE)),IF(AND(10&lt;=Y65,Y65&lt;VLOOKUP($E$3,Parámetros!$O$4:$Y$6,11,FALSE))=TRUE,PRODUCT(VLOOKUP($E$3,Parámetros!$O$4:$Y$6,5,FALSE),R65,1-(Y65/VLOOKUP($E$3,Parámetros!$O$4:$Y$6,11,FALSE))^4/3),IF(AND(VLOOKUP($E$3,Parámetros!$O$4:$Y$6,11,FALSE)&lt;=Y65,Y65&lt;50)=TRUE,PRODUCT(PI()^2,VLOOKUP($E$3,Parámetros!$O$4:$Y$6,3,FALSE),R65,POWER(2.5*Y65^2,-1))," ")))</f>
        <v>46258.177854279071</v>
      </c>
      <c r="X65" s="104">
        <f>PRODUCT(PI()^2,VLOOKUP($E$3,Parámetros!$O$4:$Y$6,3,FALSE),S65,POWER($I$10*$E$8,-1))</f>
        <v>29561439.102142848</v>
      </c>
      <c r="Y65" s="104">
        <f t="shared" si="2"/>
        <v>34.61538461538462</v>
      </c>
      <c r="Z65" s="103" t="str">
        <f>IF(Y65&lt;10,"Columna Corta",IF(AND(10&lt;=Y65,Y65&lt;VLOOKUP($E$3,Parámetros!$O$4:$Y$6,10,FALSE))=TRUE,"Columna Intermedia",IF(AND(VLOOKUP($E$3,Parámetros!$O$4:$Y$6,10,FALSE)&lt;=Y65,Y65&lt;50)=TRUE,"Columna Larga","Elemento Esbelto")))</f>
        <v>Columna Larga</v>
      </c>
      <c r="AA65" s="81" t="str">
        <f>IF(Y65&lt;10,"Columna Corta",IF(AND(10&lt;=Y65,Y65&lt;VLOOKUP($E$3,Parámetros!$O$4:$Y$6,11,FALSE))=TRUE,"Columna Intermedia",IF(AND(VLOOKUP($E$3,Parámetros!$O$4:$Y$6,11,FALSE)&lt;=Y65,Y65&lt;50)=TRUE,"Columna Larga","Elemento Esbelto")))</f>
        <v>Columna Larga</v>
      </c>
    </row>
    <row r="66" spans="16:27" x14ac:dyDescent="0.2">
      <c r="P66" s="89">
        <v>6.5</v>
      </c>
      <c r="Q66" s="89">
        <v>29</v>
      </c>
      <c r="R66" s="89">
        <f t="shared" si="3"/>
        <v>188.5</v>
      </c>
      <c r="S66" s="89">
        <f t="shared" si="0"/>
        <v>13210.708333333332</v>
      </c>
      <c r="T66" s="89">
        <f t="shared" si="1"/>
        <v>911.08333333333326</v>
      </c>
      <c r="U66" s="89">
        <f>PRODUCT(R66,VLOOKUP($E$3,Parámetros!$O$4:$W$6,8,FALSE))</f>
        <v>14137.5</v>
      </c>
      <c r="V66" s="104">
        <f>IF(Y66&lt;10,PRODUCT(R66,VLOOKUP($E$3,Parámetros!$O$4:$Y$6,5,FALSE)),IF(AND(10&lt;=Y66,Y66&lt;VLOOKUP($E$3,Parámetros!$O$4:$Y$6,10,FALSE))=TRUE,PRODUCT(VLOOKUP($E$3,Parámetros!$O$4:$Y$6,5,FALSE),R66,1-(Y66/VLOOKUP($E$3,Parámetros!$O$4:$Y$6,10,FALSE))^4/3),IF(AND(VLOOKUP($E$3,Parámetros!$O$4:$Y$6,10,FALSE)&lt;=Y66,Y66&lt;50)=TRUE,PRODUCT(PI()^2,VLOOKUP($E$3,Parámetros!$O$4:$Y$6,3,FALSE),R66,POWER(2.5*Y66^2,-1))," ")))</f>
        <v>55895.298240587203</v>
      </c>
      <c r="W66" s="89">
        <f>IF(Y66&lt;10,PRODUCT(R66,VLOOKUP($E$3,Parámetros!$O$4:$Y$6,5,FALSE)),IF(AND(10&lt;=Y66,Y66&lt;VLOOKUP($E$3,Parámetros!$O$4:$Y$6,11,FALSE))=TRUE,PRODUCT(VLOOKUP($E$3,Parámetros!$O$4:$Y$6,5,FALSE),R66,1-(Y66/VLOOKUP($E$3,Parámetros!$O$4:$Y$6,11,FALSE))^4/3),IF(AND(VLOOKUP($E$3,Parámetros!$O$4:$Y$6,11,FALSE)&lt;=Y66,Y66&lt;50)=TRUE,PRODUCT(PI()^2,VLOOKUP($E$3,Parámetros!$O$4:$Y$6,3,FALSE),R66,POWER(2.5*Y66^2,-1))," ")))</f>
        <v>55895.298240587203</v>
      </c>
      <c r="X66" s="104">
        <f>PRODUCT(PI()^2,VLOOKUP($E$3,Parámetros!$O$4:$Y$6,3,FALSE),S66,POWER($I$10*$E$8,-1))</f>
        <v>52153786.043269806</v>
      </c>
      <c r="Y66" s="104">
        <f t="shared" si="2"/>
        <v>34.61538461538462</v>
      </c>
      <c r="Z66" s="103" t="str">
        <f>IF(Y66&lt;10,"Columna Corta",IF(AND(10&lt;=Y66,Y66&lt;VLOOKUP($E$3,Parámetros!$O$4:$Y$6,10,FALSE))=TRUE,"Columna Intermedia",IF(AND(VLOOKUP($E$3,Parámetros!$O$4:$Y$6,10,FALSE)&lt;=Y66,Y66&lt;50)=TRUE,"Columna Larga","Elemento Esbelto")))</f>
        <v>Columna Larga</v>
      </c>
      <c r="AA66" s="81" t="str">
        <f>IF(Y66&lt;10,"Columna Corta",IF(AND(10&lt;=Y66,Y66&lt;VLOOKUP($E$3,Parámetros!$O$4:$Y$6,11,FALSE))=TRUE,"Columna Intermedia",IF(AND(VLOOKUP($E$3,Parámetros!$O$4:$Y$6,11,FALSE)&lt;=Y66,Y66&lt;50)=TRUE,"Columna Larga","Elemento Esbelto")))</f>
        <v>Columna Larga</v>
      </c>
    </row>
    <row r="67" spans="16:27" x14ac:dyDescent="0.2">
      <c r="P67" s="89">
        <v>9</v>
      </c>
      <c r="Q67" s="89">
        <v>9</v>
      </c>
      <c r="R67" s="89">
        <f t="shared" si="3"/>
        <v>81</v>
      </c>
      <c r="S67" s="89">
        <f t="shared" si="0"/>
        <v>546.75</v>
      </c>
      <c r="T67" s="89">
        <f t="shared" si="1"/>
        <v>121.5</v>
      </c>
      <c r="U67" s="89">
        <f>PRODUCT(R67,VLOOKUP($E$3,Parámetros!$O$4:$W$6,8,FALSE))</f>
        <v>6075</v>
      </c>
      <c r="V67" s="104">
        <f>IF(Y67&lt;10,PRODUCT(R67,VLOOKUP($E$3,Parámetros!$O$4:$Y$6,5,FALSE)),IF(AND(10&lt;=Y67,Y67&lt;VLOOKUP($E$3,Parámetros!$O$4:$Y$6,10,FALSE))=TRUE,PRODUCT(VLOOKUP($E$3,Parámetros!$O$4:$Y$6,5,FALSE),R67,1-(Y67/VLOOKUP($E$3,Parámetros!$O$4:$Y$6,10,FALSE))^4/3),IF(AND(VLOOKUP($E$3,Parámetros!$O$4:$Y$6,10,FALSE)&lt;=Y67,Y67&lt;50)=TRUE,PRODUCT(PI()^2,VLOOKUP($E$3,Parámetros!$O$4:$Y$6,3,FALSE),R67,POWER(2.5*Y67^2,-1))," ")))</f>
        <v>46047.626293722518</v>
      </c>
      <c r="W67" s="89">
        <f>IF(Y67&lt;10,PRODUCT(R67,VLOOKUP($E$3,Parámetros!$O$4:$Y$6,5,FALSE)),IF(AND(10&lt;=Y67,Y67&lt;VLOOKUP($E$3,Parámetros!$O$4:$Y$6,11,FALSE))=TRUE,PRODUCT(VLOOKUP($E$3,Parámetros!$O$4:$Y$6,5,FALSE),R67,1-(Y67/VLOOKUP($E$3,Parámetros!$O$4:$Y$6,11,FALSE))^4/3),IF(AND(VLOOKUP($E$3,Parámetros!$O$4:$Y$6,11,FALSE)&lt;=Y67,Y67&lt;50)=TRUE,PRODUCT(PI()^2,VLOOKUP($E$3,Parámetros!$O$4:$Y$6,3,FALSE),R67,POWER(2.5*Y67^2,-1))," ")))</f>
        <v>46047.626293722518</v>
      </c>
      <c r="X67" s="104">
        <f>PRODUCT(PI()^2,VLOOKUP($E$3,Parámetros!$O$4:$Y$6,3,FALSE),S67,POWER($I$10*$E$8,-1))</f>
        <v>2158482.4825182427</v>
      </c>
      <c r="Y67" s="104">
        <f t="shared" si="2"/>
        <v>25</v>
      </c>
      <c r="Z67" s="103" t="str">
        <f>IF(Y67&lt;10,"Columna Corta",IF(AND(10&lt;=Y67,Y67&lt;VLOOKUP($E$3,Parámetros!$O$4:$Y$6,10,FALSE))=TRUE,"Columna Intermedia",IF(AND(VLOOKUP($E$3,Parámetros!$O$4:$Y$6,10,FALSE)&lt;=Y67,Y67&lt;50)=TRUE,"Columna Larga","Elemento Esbelto")))</f>
        <v>Columna Larga</v>
      </c>
      <c r="AA67" s="81" t="str">
        <f>IF(Y67&lt;10,"Columna Corta",IF(AND(10&lt;=Y67,Y67&lt;VLOOKUP($E$3,Parámetros!$O$4:$Y$6,11,FALSE))=TRUE,"Columna Intermedia",IF(AND(VLOOKUP($E$3,Parámetros!$O$4:$Y$6,11,FALSE)&lt;=Y67,Y67&lt;50)=TRUE,"Columna Larga","Elemento Esbelto")))</f>
        <v>Columna Larga</v>
      </c>
    </row>
    <row r="68" spans="16:27" x14ac:dyDescent="0.2">
      <c r="P68" s="89">
        <v>9</v>
      </c>
      <c r="Q68" s="89">
        <v>14</v>
      </c>
      <c r="R68" s="89">
        <f t="shared" si="3"/>
        <v>126</v>
      </c>
      <c r="S68" s="89">
        <f t="shared" si="0"/>
        <v>2058</v>
      </c>
      <c r="T68" s="89">
        <f t="shared" si="1"/>
        <v>294</v>
      </c>
      <c r="U68" s="89">
        <f>PRODUCT(R68,VLOOKUP($E$3,Parámetros!$O$4:$W$6,8,FALSE))</f>
        <v>9450</v>
      </c>
      <c r="V68" s="104">
        <f>IF(Y68&lt;10,PRODUCT(R68,VLOOKUP($E$3,Parámetros!$O$4:$Y$6,5,FALSE)),IF(AND(10&lt;=Y68,Y68&lt;VLOOKUP($E$3,Parámetros!$O$4:$Y$6,10,FALSE))=TRUE,PRODUCT(VLOOKUP($E$3,Parámetros!$O$4:$Y$6,5,FALSE),R68,1-(Y68/VLOOKUP($E$3,Parámetros!$O$4:$Y$6,10,FALSE))^4/3),IF(AND(VLOOKUP($E$3,Parámetros!$O$4:$Y$6,10,FALSE)&lt;=Y68,Y68&lt;50)=TRUE,PRODUCT(PI()^2,VLOOKUP($E$3,Parámetros!$O$4:$Y$6,3,FALSE),R68,POWER(2.5*Y68^2,-1))," ")))</f>
        <v>71629.640901346138</v>
      </c>
      <c r="W68" s="89">
        <f>IF(Y68&lt;10,PRODUCT(R68,VLOOKUP($E$3,Parámetros!$O$4:$Y$6,5,FALSE)),IF(AND(10&lt;=Y68,Y68&lt;VLOOKUP($E$3,Parámetros!$O$4:$Y$6,11,FALSE))=TRUE,PRODUCT(VLOOKUP($E$3,Parámetros!$O$4:$Y$6,5,FALSE),R68,1-(Y68/VLOOKUP($E$3,Parámetros!$O$4:$Y$6,11,FALSE))^4/3),IF(AND(VLOOKUP($E$3,Parámetros!$O$4:$Y$6,11,FALSE)&lt;=Y68,Y68&lt;50)=TRUE,PRODUCT(PI()^2,VLOOKUP($E$3,Parámetros!$O$4:$Y$6,3,FALSE),R68,POWER(2.5*Y68^2,-1))," ")))</f>
        <v>71629.640901346138</v>
      </c>
      <c r="X68" s="104">
        <f>PRODUCT(PI()^2,VLOOKUP($E$3,Parámetros!$O$4:$Y$6,3,FALSE),S68,POWER($I$10*$E$8,-1))</f>
        <v>8124658.3429767601</v>
      </c>
      <c r="Y68" s="104">
        <f t="shared" si="2"/>
        <v>25</v>
      </c>
      <c r="Z68" s="103" t="str">
        <f>IF(Y68&lt;10,"Columna Corta",IF(AND(10&lt;=Y68,Y68&lt;VLOOKUP($E$3,Parámetros!$O$4:$Y$6,10,FALSE))=TRUE,"Columna Intermedia",IF(AND(VLOOKUP($E$3,Parámetros!$O$4:$Y$6,10,FALSE)&lt;=Y68,Y68&lt;50)=TRUE,"Columna Larga","Elemento Esbelto")))</f>
        <v>Columna Larga</v>
      </c>
      <c r="AA68" s="81" t="str">
        <f>IF(Y68&lt;10,"Columna Corta",IF(AND(10&lt;=Y68,Y68&lt;VLOOKUP($E$3,Parámetros!$O$4:$Y$6,11,FALSE))=TRUE,"Columna Intermedia",IF(AND(VLOOKUP($E$3,Parámetros!$O$4:$Y$6,11,FALSE)&lt;=Y68,Y68&lt;50)=TRUE,"Columna Larga","Elemento Esbelto")))</f>
        <v>Columna Larga</v>
      </c>
    </row>
    <row r="69" spans="16:27" x14ac:dyDescent="0.2">
      <c r="P69" s="89">
        <v>9</v>
      </c>
      <c r="Q69" s="89">
        <v>16.5</v>
      </c>
      <c r="R69" s="89">
        <f t="shared" si="3"/>
        <v>148.5</v>
      </c>
      <c r="S69" s="89">
        <f t="shared" si="0"/>
        <v>3369.09375</v>
      </c>
      <c r="T69" s="89">
        <f t="shared" si="1"/>
        <v>408.375</v>
      </c>
      <c r="U69" s="89">
        <f>PRODUCT(R69,VLOOKUP($E$3,Parámetros!$O$4:$W$6,8,FALSE))</f>
        <v>11137.5</v>
      </c>
      <c r="V69" s="104">
        <f>IF(Y69&lt;10,PRODUCT(R69,VLOOKUP($E$3,Parámetros!$O$4:$Y$6,5,FALSE)),IF(AND(10&lt;=Y69,Y69&lt;VLOOKUP($E$3,Parámetros!$O$4:$Y$6,10,FALSE))=TRUE,PRODUCT(VLOOKUP($E$3,Parámetros!$O$4:$Y$6,5,FALSE),R69,1-(Y69/VLOOKUP($E$3,Parámetros!$O$4:$Y$6,10,FALSE))^4/3),IF(AND(VLOOKUP($E$3,Parámetros!$O$4:$Y$6,10,FALSE)&lt;=Y69,Y69&lt;50)=TRUE,PRODUCT(PI()^2,VLOOKUP($E$3,Parámetros!$O$4:$Y$6,3,FALSE),R69,POWER(2.5*Y69^2,-1))," ")))</f>
        <v>84420.648205157951</v>
      </c>
      <c r="W69" s="89">
        <f>IF(Y69&lt;10,PRODUCT(R69,VLOOKUP($E$3,Parámetros!$O$4:$Y$6,5,FALSE)),IF(AND(10&lt;=Y69,Y69&lt;VLOOKUP($E$3,Parámetros!$O$4:$Y$6,11,FALSE))=TRUE,PRODUCT(VLOOKUP($E$3,Parámetros!$O$4:$Y$6,5,FALSE),R69,1-(Y69/VLOOKUP($E$3,Parámetros!$O$4:$Y$6,11,FALSE))^4/3),IF(AND(VLOOKUP($E$3,Parámetros!$O$4:$Y$6,11,FALSE)&lt;=Y69,Y69&lt;50)=TRUE,PRODUCT(PI()^2,VLOOKUP($E$3,Parámetros!$O$4:$Y$6,3,FALSE),R69,POWER(2.5*Y69^2,-1))," ")))</f>
        <v>84420.648205157951</v>
      </c>
      <c r="X69" s="104">
        <f>PRODUCT(PI()^2,VLOOKUP($E$3,Parámetros!$O$4:$Y$6,3,FALSE),S69,POWER($I$10*$E$8,-1))</f>
        <v>13300649.001073059</v>
      </c>
      <c r="Y69" s="104">
        <f t="shared" si="2"/>
        <v>25</v>
      </c>
      <c r="Z69" s="103" t="str">
        <f>IF(Y69&lt;10,"Columna Corta",IF(AND(10&lt;=Y69,Y69&lt;VLOOKUP($E$3,Parámetros!$O$4:$Y$6,10,FALSE))=TRUE,"Columna Intermedia",IF(AND(VLOOKUP($E$3,Parámetros!$O$4:$Y$6,10,FALSE)&lt;=Y69,Y69&lt;50)=TRUE,"Columna Larga","Elemento Esbelto")))</f>
        <v>Columna Larga</v>
      </c>
      <c r="AA69" s="81" t="str">
        <f>IF(Y69&lt;10,"Columna Corta",IF(AND(10&lt;=Y69,Y69&lt;VLOOKUP($E$3,Parámetros!$O$4:$Y$6,11,FALSE))=TRUE,"Columna Intermedia",IF(AND(VLOOKUP($E$3,Parámetros!$O$4:$Y$6,11,FALSE)&lt;=Y69,Y69&lt;50)=TRUE,"Columna Larga","Elemento Esbelto")))</f>
        <v>Columna Larga</v>
      </c>
    </row>
    <row r="70" spans="16:27" x14ac:dyDescent="0.2">
      <c r="P70" s="89">
        <v>9</v>
      </c>
      <c r="Q70" s="89">
        <v>19</v>
      </c>
      <c r="R70" s="89">
        <f t="shared" si="3"/>
        <v>171</v>
      </c>
      <c r="S70" s="89">
        <f t="shared" si="0"/>
        <v>5144.25</v>
      </c>
      <c r="T70" s="89">
        <f t="shared" si="1"/>
        <v>541.5</v>
      </c>
      <c r="U70" s="89">
        <f>PRODUCT(R70,VLOOKUP($E$3,Parámetros!$O$4:$W$6,8,FALSE))</f>
        <v>12825</v>
      </c>
      <c r="V70" s="104">
        <f>IF(Y70&lt;10,PRODUCT(R70,VLOOKUP($E$3,Parámetros!$O$4:$Y$6,5,FALSE)),IF(AND(10&lt;=Y70,Y70&lt;VLOOKUP($E$3,Parámetros!$O$4:$Y$6,10,FALSE))=TRUE,PRODUCT(VLOOKUP($E$3,Parámetros!$O$4:$Y$6,5,FALSE),R70,1-(Y70/VLOOKUP($E$3,Parámetros!$O$4:$Y$6,10,FALSE))^4/3),IF(AND(VLOOKUP($E$3,Parámetros!$O$4:$Y$6,10,FALSE)&lt;=Y70,Y70&lt;50)=TRUE,PRODUCT(PI()^2,VLOOKUP($E$3,Parámetros!$O$4:$Y$6,3,FALSE),R70,POWER(2.5*Y70^2,-1))," ")))</f>
        <v>97211.65550896975</v>
      </c>
      <c r="W70" s="89">
        <f>IF(Y70&lt;10,PRODUCT(R70,VLOOKUP($E$3,Parámetros!$O$4:$Y$6,5,FALSE)),IF(AND(10&lt;=Y70,Y70&lt;VLOOKUP($E$3,Parámetros!$O$4:$Y$6,11,FALSE))=TRUE,PRODUCT(VLOOKUP($E$3,Parámetros!$O$4:$Y$6,5,FALSE),R70,1-(Y70/VLOOKUP($E$3,Parámetros!$O$4:$Y$6,11,FALSE))^4/3),IF(AND(VLOOKUP($E$3,Parámetros!$O$4:$Y$6,11,FALSE)&lt;=Y70,Y70&lt;50)=TRUE,PRODUCT(PI()^2,VLOOKUP($E$3,Parámetros!$O$4:$Y$6,3,FALSE),R70,POWER(2.5*Y70^2,-1))," ")))</f>
        <v>97211.65550896975</v>
      </c>
      <c r="X70" s="104">
        <f>PRODUCT(PI()^2,VLOOKUP($E$3,Parámetros!$O$4:$Y$6,3,FALSE),S70,POWER($I$10*$E$8,-1))</f>
        <v>20308684.976121571</v>
      </c>
      <c r="Y70" s="104">
        <f t="shared" si="2"/>
        <v>25</v>
      </c>
      <c r="Z70" s="103" t="str">
        <f>IF(Y70&lt;10,"Columna Corta",IF(AND(10&lt;=Y70,Y70&lt;VLOOKUP($E$3,Parámetros!$O$4:$Y$6,10,FALSE))=TRUE,"Columna Intermedia",IF(AND(VLOOKUP($E$3,Parámetros!$O$4:$Y$6,10,FALSE)&lt;=Y70,Y70&lt;50)=TRUE,"Columna Larga","Elemento Esbelto")))</f>
        <v>Columna Larga</v>
      </c>
      <c r="AA70" s="81" t="str">
        <f>IF(Y70&lt;10,"Columna Corta",IF(AND(10&lt;=Y70,Y70&lt;VLOOKUP($E$3,Parámetros!$O$4:$Y$6,11,FALSE))=TRUE,"Columna Intermedia",IF(AND(VLOOKUP($E$3,Parámetros!$O$4:$Y$6,11,FALSE)&lt;=Y70,Y70&lt;50)=TRUE,"Columna Larga","Elemento Esbelto")))</f>
        <v>Columna Larga</v>
      </c>
    </row>
    <row r="71" spans="16:27" x14ac:dyDescent="0.2">
      <c r="P71" s="89">
        <v>9</v>
      </c>
      <c r="Q71" s="89">
        <v>24</v>
      </c>
      <c r="R71" s="89">
        <f t="shared" si="3"/>
        <v>216</v>
      </c>
      <c r="S71" s="89">
        <f t="shared" si="0"/>
        <v>10368</v>
      </c>
      <c r="T71" s="89">
        <f t="shared" si="1"/>
        <v>864</v>
      </c>
      <c r="U71" s="89">
        <f>PRODUCT(R71,VLOOKUP($E$3,Parámetros!$O$4:$W$6,8,FALSE))</f>
        <v>16200</v>
      </c>
      <c r="V71" s="104">
        <f>IF(Y71&lt;10,PRODUCT(R71,VLOOKUP($E$3,Parámetros!$O$4:$Y$6,5,FALSE)),IF(AND(10&lt;=Y71,Y71&lt;VLOOKUP($E$3,Parámetros!$O$4:$Y$6,10,FALSE))=TRUE,PRODUCT(VLOOKUP($E$3,Parámetros!$O$4:$Y$6,5,FALSE),R71,1-(Y71/VLOOKUP($E$3,Parámetros!$O$4:$Y$6,10,FALSE))^4/3),IF(AND(VLOOKUP($E$3,Parámetros!$O$4:$Y$6,10,FALSE)&lt;=Y71,Y71&lt;50)=TRUE,PRODUCT(PI()^2,VLOOKUP($E$3,Parámetros!$O$4:$Y$6,3,FALSE),R71,POWER(2.5*Y71^2,-1))," ")))</f>
        <v>122793.67011659338</v>
      </c>
      <c r="W71" s="89">
        <f>IF(Y71&lt;10,PRODUCT(R71,VLOOKUP($E$3,Parámetros!$O$4:$Y$6,5,FALSE)),IF(AND(10&lt;=Y71,Y71&lt;VLOOKUP($E$3,Parámetros!$O$4:$Y$6,11,FALSE))=TRUE,PRODUCT(VLOOKUP($E$3,Parámetros!$O$4:$Y$6,5,FALSE),R71,1-(Y71/VLOOKUP($E$3,Parámetros!$O$4:$Y$6,11,FALSE))^4/3),IF(AND(VLOOKUP($E$3,Parámetros!$O$4:$Y$6,11,FALSE)&lt;=Y71,Y71&lt;50)=TRUE,PRODUCT(PI()^2,VLOOKUP($E$3,Parámetros!$O$4:$Y$6,3,FALSE),R71,POWER(2.5*Y71^2,-1))," ")))</f>
        <v>122793.67011659338</v>
      </c>
      <c r="X71" s="104">
        <f>PRODUCT(PI()^2,VLOOKUP($E$3,Parámetros!$O$4:$Y$6,3,FALSE),S71,POWER($I$10*$E$8,-1))</f>
        <v>40931223.372197792</v>
      </c>
      <c r="Y71" s="104">
        <f t="shared" si="2"/>
        <v>25</v>
      </c>
      <c r="Z71" s="103" t="str">
        <f>IF(Y71&lt;10,"Columna Corta",IF(AND(10&lt;=Y71,Y71&lt;VLOOKUP($E$3,Parámetros!$O$4:$Y$6,10,FALSE))=TRUE,"Columna Intermedia",IF(AND(VLOOKUP($E$3,Parámetros!$O$4:$Y$6,10,FALSE)&lt;=Y71,Y71&lt;50)=TRUE,"Columna Larga","Elemento Esbelto")))</f>
        <v>Columna Larga</v>
      </c>
      <c r="AA71" s="81" t="str">
        <f>IF(Y71&lt;10,"Columna Corta",IF(AND(10&lt;=Y71,Y71&lt;VLOOKUP($E$3,Parámetros!$O$4:$Y$6,11,FALSE))=TRUE,"Columna Intermedia",IF(AND(VLOOKUP($E$3,Parámetros!$O$4:$Y$6,11,FALSE)&lt;=Y71,Y71&lt;50)=TRUE,"Columna Larga","Elemento Esbelto")))</f>
        <v>Columna Larga</v>
      </c>
    </row>
    <row r="72" spans="16:27" x14ac:dyDescent="0.2">
      <c r="P72" s="89">
        <v>9</v>
      </c>
      <c r="Q72" s="89">
        <v>29</v>
      </c>
      <c r="R72" s="89">
        <f t="shared" si="3"/>
        <v>261</v>
      </c>
      <c r="S72" s="89">
        <f t="shared" si="0"/>
        <v>18291.75</v>
      </c>
      <c r="T72" s="89">
        <f t="shared" si="1"/>
        <v>1261.5</v>
      </c>
      <c r="U72" s="89">
        <f>PRODUCT(R72,VLOOKUP($E$3,Parámetros!$O$4:$W$6,8,FALSE))</f>
        <v>19575</v>
      </c>
      <c r="V72" s="104">
        <f>IF(Y72&lt;10,PRODUCT(R72,VLOOKUP($E$3,Parámetros!$O$4:$Y$6,5,FALSE)),IF(AND(10&lt;=Y72,Y72&lt;VLOOKUP($E$3,Parámetros!$O$4:$Y$6,10,FALSE))=TRUE,PRODUCT(VLOOKUP($E$3,Parámetros!$O$4:$Y$6,5,FALSE),R72,1-(Y72/VLOOKUP($E$3,Parámetros!$O$4:$Y$6,10,FALSE))^4/3),IF(AND(VLOOKUP($E$3,Parámetros!$O$4:$Y$6,10,FALSE)&lt;=Y72,Y72&lt;50)=TRUE,PRODUCT(PI()^2,VLOOKUP($E$3,Parámetros!$O$4:$Y$6,3,FALSE),R72,POWER(2.5*Y72^2,-1))," ")))</f>
        <v>148375.68472421699</v>
      </c>
      <c r="W72" s="89">
        <f>IF(Y72&lt;10,PRODUCT(R72,VLOOKUP($E$3,Parámetros!$O$4:$Y$6,5,FALSE)),IF(AND(10&lt;=Y72,Y72&lt;VLOOKUP($E$3,Parámetros!$O$4:$Y$6,11,FALSE))=TRUE,PRODUCT(VLOOKUP($E$3,Parámetros!$O$4:$Y$6,5,FALSE),R72,1-(Y72/VLOOKUP($E$3,Parámetros!$O$4:$Y$6,11,FALSE))^4/3),IF(AND(VLOOKUP($E$3,Parámetros!$O$4:$Y$6,11,FALSE)&lt;=Y72,Y72&lt;50)=TRUE,PRODUCT(PI()^2,VLOOKUP($E$3,Parámetros!$O$4:$Y$6,3,FALSE),R72,POWER(2.5*Y72^2,-1))," ")))</f>
        <v>148375.68472421699</v>
      </c>
      <c r="X72" s="104">
        <f>PRODUCT(PI()^2,VLOOKUP($E$3,Parámetros!$O$4:$Y$6,3,FALSE),S72,POWER($I$10*$E$8,-1))</f>
        <v>72212934.521450505</v>
      </c>
      <c r="Y72" s="104">
        <f t="shared" si="2"/>
        <v>25</v>
      </c>
      <c r="Z72" s="103" t="str">
        <f>IF(Y72&lt;10,"Columna Corta",IF(AND(10&lt;=Y72,Y72&lt;VLOOKUP($E$3,Parámetros!$O$4:$Y$6,10,FALSE))=TRUE,"Columna Intermedia",IF(AND(VLOOKUP($E$3,Parámetros!$O$4:$Y$6,10,FALSE)&lt;=Y72,Y72&lt;50)=TRUE,"Columna Larga","Elemento Esbelto")))</f>
        <v>Columna Larga</v>
      </c>
      <c r="AA72" s="81" t="str">
        <f>IF(Y72&lt;10,"Columna Corta",IF(AND(10&lt;=Y72,Y72&lt;VLOOKUP($E$3,Parámetros!$O$4:$Y$6,11,FALSE))=TRUE,"Columna Intermedia",IF(AND(VLOOKUP($E$3,Parámetros!$O$4:$Y$6,11,FALSE)&lt;=Y72,Y72&lt;50)=TRUE,"Columna Larga","Elemento Esbelto")))</f>
        <v>Columna Larga</v>
      </c>
    </row>
    <row r="73" spans="16:27" x14ac:dyDescent="0.2">
      <c r="P73" s="89">
        <v>14</v>
      </c>
      <c r="Q73" s="89">
        <v>14</v>
      </c>
      <c r="R73" s="89">
        <f t="shared" si="3"/>
        <v>196</v>
      </c>
      <c r="S73" s="89">
        <f t="shared" si="0"/>
        <v>3201.333333333333</v>
      </c>
      <c r="T73" s="89">
        <f t="shared" si="1"/>
        <v>457.33333333333331</v>
      </c>
      <c r="U73" s="89">
        <f>PRODUCT(R73,VLOOKUP($E$3,Parámetros!$O$4:$W$6,8,FALSE))</f>
        <v>14700</v>
      </c>
      <c r="V73" s="104">
        <f>IF(Y73&lt;10,PRODUCT(R73,VLOOKUP($E$3,Parámetros!$O$4:$Y$6,5,FALSE)),IF(AND(10&lt;=Y73,Y73&lt;VLOOKUP($E$3,Parámetros!$O$4:$Y$6,10,FALSE))=TRUE,PRODUCT(VLOOKUP($E$3,Parámetros!$O$4:$Y$6,5,FALSE),R73,1-(Y73/VLOOKUP($E$3,Parámetros!$O$4:$Y$6,10,FALSE))^4/3),IF(AND(VLOOKUP($E$3,Parámetros!$O$4:$Y$6,10,FALSE)&lt;=Y73,Y73&lt;50)=TRUE,PRODUCT(PI()^2,VLOOKUP($E$3,Parámetros!$O$4:$Y$6,3,FALSE),R73,POWER(2.5*Y73^2,-1))," ")))</f>
        <v>12651.104918935243</v>
      </c>
      <c r="W73" s="89">
        <f>IF(Y73&lt;10,PRODUCT(R73,VLOOKUP($E$3,Parámetros!$O$4:$Y$6,5,FALSE)),IF(AND(10&lt;=Y73,Y73&lt;VLOOKUP($E$3,Parámetros!$O$4:$Y$6,11,FALSE))=TRUE,PRODUCT(VLOOKUP($E$3,Parámetros!$O$4:$Y$6,5,FALSE),R73,1-(Y73/VLOOKUP($E$3,Parámetros!$O$4:$Y$6,11,FALSE))^4/3),IF(AND(VLOOKUP($E$3,Parámetros!$O$4:$Y$6,11,FALSE)&lt;=Y73,Y73&lt;50)=TRUE,PRODUCT(PI()^2,VLOOKUP($E$3,Parámetros!$O$4:$Y$6,3,FALSE),R73,POWER(2.5*Y73^2,-1))," ")))</f>
        <v>14312.175294381806</v>
      </c>
      <c r="X73" s="104">
        <f>PRODUCT(PI()^2,VLOOKUP($E$3,Parámetros!$O$4:$Y$6,3,FALSE),S73,POWER($I$10*$E$8,-1))</f>
        <v>12638357.422408292</v>
      </c>
      <c r="Y73" s="104">
        <f t="shared" si="2"/>
        <v>16.071428571428569</v>
      </c>
      <c r="Z73" s="103" t="str">
        <f>IF(Y73&lt;10,"Columna Corta",IF(AND(10&lt;=Y73,Y73&lt;VLOOKUP($E$3,Parámetros!$O$4:$Y$6,10,FALSE))=TRUE,"Columna Intermedia",IF(AND(VLOOKUP($E$3,Parámetros!$O$4:$Y$6,10,FALSE)&lt;=Y73,Y73&lt;50)=TRUE,"Columna Larga","Elemento Esbelto")))</f>
        <v>Columna Intermedia</v>
      </c>
      <c r="AA73" s="81" t="str">
        <f>IF(Y73&lt;10,"Columna Corta",IF(AND(10&lt;=Y73,Y73&lt;VLOOKUP($E$3,Parámetros!$O$4:$Y$6,11,FALSE))=TRUE,"Columna Intermedia",IF(AND(VLOOKUP($E$3,Parámetros!$O$4:$Y$6,11,FALSE)&lt;=Y73,Y73&lt;50)=TRUE,"Columna Larga","Elemento Esbelto")))</f>
        <v>Columna Intermedia</v>
      </c>
    </row>
    <row r="74" spans="16:27" x14ac:dyDescent="0.2">
      <c r="P74" s="89">
        <v>14</v>
      </c>
      <c r="Q74" s="89">
        <v>16.5</v>
      </c>
      <c r="R74" s="89">
        <f t="shared" si="3"/>
        <v>231</v>
      </c>
      <c r="S74" s="89">
        <f t="shared" si="0"/>
        <v>5240.8125</v>
      </c>
      <c r="T74" s="89">
        <f t="shared" si="1"/>
        <v>635.25</v>
      </c>
      <c r="U74" s="89">
        <f>PRODUCT(R74,VLOOKUP($E$3,Parámetros!$O$4:$W$6,8,FALSE))</f>
        <v>17325</v>
      </c>
      <c r="V74" s="104">
        <f>IF(Y74&lt;10,PRODUCT(R74,VLOOKUP($E$3,Parámetros!$O$4:$Y$6,5,FALSE)),IF(AND(10&lt;=Y74,Y74&lt;VLOOKUP($E$3,Parámetros!$O$4:$Y$6,10,FALSE))=TRUE,PRODUCT(VLOOKUP($E$3,Parámetros!$O$4:$Y$6,5,FALSE),R74,1-(Y74/VLOOKUP($E$3,Parámetros!$O$4:$Y$6,10,FALSE))^4/3),IF(AND(VLOOKUP($E$3,Parámetros!$O$4:$Y$6,10,FALSE)&lt;=Y74,Y74&lt;50)=TRUE,PRODUCT(PI()^2,VLOOKUP($E$3,Parámetros!$O$4:$Y$6,3,FALSE),R74,POWER(2.5*Y74^2,-1))," ")))</f>
        <v>14910.230797316535</v>
      </c>
      <c r="W74" s="89">
        <f>IF(Y74&lt;10,PRODUCT(R74,VLOOKUP($E$3,Parámetros!$O$4:$Y$6,5,FALSE)),IF(AND(10&lt;=Y74,Y74&lt;VLOOKUP($E$3,Parámetros!$O$4:$Y$6,11,FALSE))=TRUE,PRODUCT(VLOOKUP($E$3,Parámetros!$O$4:$Y$6,5,FALSE),R74,1-(Y74/VLOOKUP($E$3,Parámetros!$O$4:$Y$6,11,FALSE))^4/3),IF(AND(VLOOKUP($E$3,Parámetros!$O$4:$Y$6,11,FALSE)&lt;=Y74,Y74&lt;50)=TRUE,PRODUCT(PI()^2,VLOOKUP($E$3,Parámetros!$O$4:$Y$6,3,FALSE),R74,POWER(2.5*Y74^2,-1))," ")))</f>
        <v>16867.920882664272</v>
      </c>
      <c r="X74" s="104">
        <f>PRODUCT(PI()^2,VLOOKUP($E$3,Parámetros!$O$4:$Y$6,3,FALSE),S74,POWER($I$10*$E$8,-1))</f>
        <v>20689898.44611365</v>
      </c>
      <c r="Y74" s="104">
        <f t="shared" si="2"/>
        <v>16.071428571428569</v>
      </c>
      <c r="Z74" s="103" t="str">
        <f>IF(Y74&lt;10,"Columna Corta",IF(AND(10&lt;=Y74,Y74&lt;VLOOKUP($E$3,Parámetros!$O$4:$Y$6,10,FALSE))=TRUE,"Columna Intermedia",IF(AND(VLOOKUP($E$3,Parámetros!$O$4:$Y$6,10,FALSE)&lt;=Y74,Y74&lt;50)=TRUE,"Columna Larga","Elemento Esbelto")))</f>
        <v>Columna Intermedia</v>
      </c>
      <c r="AA74" s="81" t="str">
        <f>IF(Y74&lt;10,"Columna Corta",IF(AND(10&lt;=Y74,Y74&lt;VLOOKUP($E$3,Parámetros!$O$4:$Y$6,11,FALSE))=TRUE,"Columna Intermedia",IF(AND(VLOOKUP($E$3,Parámetros!$O$4:$Y$6,11,FALSE)&lt;=Y74,Y74&lt;50)=TRUE,"Columna Larga","Elemento Esbelto")))</f>
        <v>Columna Intermedia</v>
      </c>
    </row>
    <row r="75" spans="16:27" x14ac:dyDescent="0.2">
      <c r="P75" s="89">
        <v>14</v>
      </c>
      <c r="Q75" s="89">
        <v>19</v>
      </c>
      <c r="R75" s="89">
        <f t="shared" si="3"/>
        <v>266</v>
      </c>
      <c r="S75" s="89">
        <f t="shared" si="0"/>
        <v>8002.1666666666661</v>
      </c>
      <c r="T75" s="89">
        <f t="shared" si="1"/>
        <v>842.33333333333326</v>
      </c>
      <c r="U75" s="89">
        <f>PRODUCT(R75,VLOOKUP($E$3,Parámetros!$O$4:$W$6,8,FALSE))</f>
        <v>19950</v>
      </c>
      <c r="V75" s="104">
        <f>IF(Y75&lt;10,PRODUCT(R75,VLOOKUP($E$3,Parámetros!$O$4:$Y$6,5,FALSE)),IF(AND(10&lt;=Y75,Y75&lt;VLOOKUP($E$3,Parámetros!$O$4:$Y$6,10,FALSE))=TRUE,PRODUCT(VLOOKUP($E$3,Parámetros!$O$4:$Y$6,5,FALSE),R75,1-(Y75/VLOOKUP($E$3,Parámetros!$O$4:$Y$6,10,FALSE))^4/3),IF(AND(VLOOKUP($E$3,Parámetros!$O$4:$Y$6,10,FALSE)&lt;=Y75,Y75&lt;50)=TRUE,PRODUCT(PI()^2,VLOOKUP($E$3,Parámetros!$O$4:$Y$6,3,FALSE),R75,POWER(2.5*Y75^2,-1))," ")))</f>
        <v>17169.356675697829</v>
      </c>
      <c r="W75" s="89">
        <f>IF(Y75&lt;10,PRODUCT(R75,VLOOKUP($E$3,Parámetros!$O$4:$Y$6,5,FALSE)),IF(AND(10&lt;=Y75,Y75&lt;VLOOKUP($E$3,Parámetros!$O$4:$Y$6,11,FALSE))=TRUE,PRODUCT(VLOOKUP($E$3,Parámetros!$O$4:$Y$6,5,FALSE),R75,1-(Y75/VLOOKUP($E$3,Parámetros!$O$4:$Y$6,11,FALSE))^4/3),IF(AND(VLOOKUP($E$3,Parámetros!$O$4:$Y$6,11,FALSE)&lt;=Y75,Y75&lt;50)=TRUE,PRODUCT(PI()^2,VLOOKUP($E$3,Parámetros!$O$4:$Y$6,3,FALSE),R75,POWER(2.5*Y75^2,-1))," ")))</f>
        <v>19423.666470946737</v>
      </c>
      <c r="X75" s="104">
        <f>PRODUCT(PI()^2,VLOOKUP($E$3,Parámetros!$O$4:$Y$6,3,FALSE),S75,POWER($I$10*$E$8,-1))</f>
        <v>31591287.740633555</v>
      </c>
      <c r="Y75" s="104">
        <f t="shared" si="2"/>
        <v>16.071428571428569</v>
      </c>
      <c r="Z75" s="103" t="str">
        <f>IF(Y75&lt;10,"Columna Corta",IF(AND(10&lt;=Y75,Y75&lt;VLOOKUP($E$3,Parámetros!$O$4:$Y$6,10,FALSE))=TRUE,"Columna Intermedia",IF(AND(VLOOKUP($E$3,Parámetros!$O$4:$Y$6,10,FALSE)&lt;=Y75,Y75&lt;50)=TRUE,"Columna Larga","Elemento Esbelto")))</f>
        <v>Columna Intermedia</v>
      </c>
      <c r="AA75" s="81" t="str">
        <f>IF(Y75&lt;10,"Columna Corta",IF(AND(10&lt;=Y75,Y75&lt;VLOOKUP($E$3,Parámetros!$O$4:$Y$6,11,FALSE))=TRUE,"Columna Intermedia",IF(AND(VLOOKUP($E$3,Parámetros!$O$4:$Y$6,11,FALSE)&lt;=Y75,Y75&lt;50)=TRUE,"Columna Larga","Elemento Esbelto")))</f>
        <v>Columna Intermedia</v>
      </c>
    </row>
    <row r="76" spans="16:27" x14ac:dyDescent="0.2">
      <c r="P76" s="89">
        <v>14</v>
      </c>
      <c r="Q76" s="89">
        <v>24</v>
      </c>
      <c r="R76" s="89">
        <f t="shared" si="3"/>
        <v>336</v>
      </c>
      <c r="S76" s="89">
        <f t="shared" si="0"/>
        <v>16128</v>
      </c>
      <c r="T76" s="89">
        <f t="shared" si="1"/>
        <v>1344</v>
      </c>
      <c r="U76" s="89">
        <f>PRODUCT(R76,VLOOKUP($E$3,Parámetros!$O$4:$W$6,8,FALSE))</f>
        <v>25200</v>
      </c>
      <c r="V76" s="104">
        <f>IF(Y76&lt;10,PRODUCT(R76,VLOOKUP($E$3,Parámetros!$O$4:$Y$6,5,FALSE)),IF(AND(10&lt;=Y76,Y76&lt;VLOOKUP($E$3,Parámetros!$O$4:$Y$6,10,FALSE))=TRUE,PRODUCT(VLOOKUP($E$3,Parámetros!$O$4:$Y$6,5,FALSE),R76,1-(Y76/VLOOKUP($E$3,Parámetros!$O$4:$Y$6,10,FALSE))^4/3),IF(AND(VLOOKUP($E$3,Parámetros!$O$4:$Y$6,10,FALSE)&lt;=Y76,Y76&lt;50)=TRUE,PRODUCT(PI()^2,VLOOKUP($E$3,Parámetros!$O$4:$Y$6,3,FALSE),R76,POWER(2.5*Y76^2,-1))," ")))</f>
        <v>21687.608432460416</v>
      </c>
      <c r="W76" s="89">
        <f>IF(Y76&lt;10,PRODUCT(R76,VLOOKUP($E$3,Parámetros!$O$4:$Y$6,5,FALSE)),IF(AND(10&lt;=Y76,Y76&lt;VLOOKUP($E$3,Parámetros!$O$4:$Y$6,11,FALSE))=TRUE,PRODUCT(VLOOKUP($E$3,Parámetros!$O$4:$Y$6,5,FALSE),R76,1-(Y76/VLOOKUP($E$3,Parámetros!$O$4:$Y$6,11,FALSE))^4/3),IF(AND(VLOOKUP($E$3,Parámetros!$O$4:$Y$6,11,FALSE)&lt;=Y76,Y76&lt;50)=TRUE,PRODUCT(PI()^2,VLOOKUP($E$3,Parámetros!$O$4:$Y$6,3,FALSE),R76,POWER(2.5*Y76^2,-1))," ")))</f>
        <v>24535.157647511667</v>
      </c>
      <c r="X76" s="104">
        <f>PRODUCT(PI()^2,VLOOKUP($E$3,Parámetros!$O$4:$Y$6,3,FALSE),S76,POWER($I$10*$E$8,-1))</f>
        <v>63670791.912307672</v>
      </c>
      <c r="Y76" s="104">
        <f t="shared" si="2"/>
        <v>16.071428571428569</v>
      </c>
      <c r="Z76" s="103" t="str">
        <f>IF(Y76&lt;10,"Columna Corta",IF(AND(10&lt;=Y76,Y76&lt;VLOOKUP($E$3,Parámetros!$O$4:$Y$6,10,FALSE))=TRUE,"Columna Intermedia",IF(AND(VLOOKUP($E$3,Parámetros!$O$4:$Y$6,10,FALSE)&lt;=Y76,Y76&lt;50)=TRUE,"Columna Larga","Elemento Esbelto")))</f>
        <v>Columna Intermedia</v>
      </c>
      <c r="AA76" s="81" t="str">
        <f>IF(Y76&lt;10,"Columna Corta",IF(AND(10&lt;=Y76,Y76&lt;VLOOKUP($E$3,Parámetros!$O$4:$Y$6,11,FALSE))=TRUE,"Columna Intermedia",IF(AND(VLOOKUP($E$3,Parámetros!$O$4:$Y$6,11,FALSE)&lt;=Y76,Y76&lt;50)=TRUE,"Columna Larga","Elemento Esbelto")))</f>
        <v>Columna Intermedia</v>
      </c>
    </row>
    <row r="77" spans="16:27" x14ac:dyDescent="0.2">
      <c r="P77" s="89">
        <v>14</v>
      </c>
      <c r="Q77" s="89">
        <v>29</v>
      </c>
      <c r="R77" s="89">
        <f t="shared" si="3"/>
        <v>406</v>
      </c>
      <c r="S77" s="89">
        <f t="shared" si="0"/>
        <v>28453.833333333332</v>
      </c>
      <c r="T77" s="89">
        <f t="shared" si="1"/>
        <v>1962.3333333333333</v>
      </c>
      <c r="U77" s="89">
        <f>PRODUCT(R77,VLOOKUP($E$3,Parámetros!$O$4:$W$6,8,FALSE))</f>
        <v>30450</v>
      </c>
      <c r="V77" s="104">
        <f>IF(Y77&lt;10,PRODUCT(R77,VLOOKUP($E$3,Parámetros!$O$4:$Y$6,5,FALSE)),IF(AND(10&lt;=Y77,Y77&lt;VLOOKUP($E$3,Parámetros!$O$4:$Y$6,10,FALSE))=TRUE,PRODUCT(VLOOKUP($E$3,Parámetros!$O$4:$Y$6,5,FALSE),R77,1-(Y77/VLOOKUP($E$3,Parámetros!$O$4:$Y$6,10,FALSE))^4/3),IF(AND(VLOOKUP($E$3,Parámetros!$O$4:$Y$6,10,FALSE)&lt;=Y77,Y77&lt;50)=TRUE,PRODUCT(PI()^2,VLOOKUP($E$3,Parámetros!$O$4:$Y$6,3,FALSE),R77,POWER(2.5*Y77^2,-1))," ")))</f>
        <v>26205.860189223004</v>
      </c>
      <c r="W77" s="89">
        <f>IF(Y77&lt;10,PRODUCT(R77,VLOOKUP($E$3,Parámetros!$O$4:$Y$6,5,FALSE)),IF(AND(10&lt;=Y77,Y77&lt;VLOOKUP($E$3,Parámetros!$O$4:$Y$6,11,FALSE))=TRUE,PRODUCT(VLOOKUP($E$3,Parámetros!$O$4:$Y$6,5,FALSE),R77,1-(Y77/VLOOKUP($E$3,Parámetros!$O$4:$Y$6,11,FALSE))^4/3),IF(AND(VLOOKUP($E$3,Parámetros!$O$4:$Y$6,11,FALSE)&lt;=Y77,Y77&lt;50)=TRUE,PRODUCT(PI()^2,VLOOKUP($E$3,Parámetros!$O$4:$Y$6,3,FALSE),R77,POWER(2.5*Y77^2,-1))," ")))</f>
        <v>29646.648824076598</v>
      </c>
      <c r="X77" s="104">
        <f>PRODUCT(PI()^2,VLOOKUP($E$3,Parámetros!$O$4:$Y$6,3,FALSE),S77,POWER($I$10*$E$8,-1))</f>
        <v>112331231.47781189</v>
      </c>
      <c r="Y77" s="104">
        <f t="shared" si="2"/>
        <v>16.071428571428569</v>
      </c>
      <c r="Z77" s="103" t="str">
        <f>IF(Y77&lt;10,"Columna Corta",IF(AND(10&lt;=Y77,Y77&lt;VLOOKUP($E$3,Parámetros!$O$4:$Y$6,10,FALSE))=TRUE,"Columna Intermedia",IF(AND(VLOOKUP($E$3,Parámetros!$O$4:$Y$6,10,FALSE)&lt;=Y77,Y77&lt;50)=TRUE,"Columna Larga","Elemento Esbelto")))</f>
        <v>Columna Intermedia</v>
      </c>
      <c r="AA77" s="81" t="str">
        <f>IF(Y77&lt;10,"Columna Corta",IF(AND(10&lt;=Y77,Y77&lt;VLOOKUP($E$3,Parámetros!$O$4:$Y$6,11,FALSE))=TRUE,"Columna Intermedia",IF(AND(VLOOKUP($E$3,Parámetros!$O$4:$Y$6,11,FALSE)&lt;=Y77,Y77&lt;50)=TRUE,"Columna Larga","Elemento Esbelto")))</f>
        <v>Columna Intermedia</v>
      </c>
    </row>
    <row r="78" spans="16:27" x14ac:dyDescent="0.2">
      <c r="P78" s="89">
        <v>19</v>
      </c>
      <c r="Q78" s="89">
        <v>19</v>
      </c>
      <c r="R78" s="89">
        <f t="shared" si="3"/>
        <v>361</v>
      </c>
      <c r="S78" s="89">
        <f t="shared" si="0"/>
        <v>10860.083333333332</v>
      </c>
      <c r="T78" s="89">
        <f t="shared" si="1"/>
        <v>1143.1666666666665</v>
      </c>
      <c r="U78" s="89">
        <f>PRODUCT(R78,VLOOKUP($E$3,Parámetros!$O$4:$W$6,8,FALSE))</f>
        <v>27075</v>
      </c>
      <c r="V78" s="104">
        <f>IF(Y78&lt;10,PRODUCT(R78,VLOOKUP($E$3,Parámetros!$O$4:$Y$6,5,FALSE)),IF(AND(10&lt;=Y78,Y78&lt;VLOOKUP($E$3,Parámetros!$O$4:$Y$6,10,FALSE))=TRUE,PRODUCT(VLOOKUP($E$3,Parámetros!$O$4:$Y$6,5,FALSE),R78,1-(Y78/VLOOKUP($E$3,Parámetros!$O$4:$Y$6,10,FALSE))^4/3),IF(AND(VLOOKUP($E$3,Parámetros!$O$4:$Y$6,10,FALSE)&lt;=Y78,Y78&lt;50)=TRUE,PRODUCT(PI()^2,VLOOKUP($E$3,Parámetros!$O$4:$Y$6,3,FALSE),R78,POWER(2.5*Y78^2,-1))," ")))</f>
        <v>27235.502947676752</v>
      </c>
      <c r="W78" s="89">
        <f>IF(Y78&lt;10,PRODUCT(R78,VLOOKUP($E$3,Parámetros!$O$4:$Y$6,5,FALSE)),IF(AND(10&lt;=Y78,Y78&lt;VLOOKUP($E$3,Parámetros!$O$4:$Y$6,11,FALSE))=TRUE,PRODUCT(VLOOKUP($E$3,Parámetros!$O$4:$Y$6,5,FALSE),R78,1-(Y78/VLOOKUP($E$3,Parámetros!$O$4:$Y$6,11,FALSE))^4/3),IF(AND(VLOOKUP($E$3,Parámetros!$O$4:$Y$6,11,FALSE)&lt;=Y78,Y78&lt;50)=TRUE,PRODUCT(PI()^2,VLOOKUP($E$3,Parámetros!$O$4:$Y$6,3,FALSE),R78,POWER(2.5*Y78^2,-1))," ")))</f>
        <v>28137.358331575717</v>
      </c>
      <c r="X78" s="104">
        <f>PRODUCT(PI()^2,VLOOKUP($E$3,Parámetros!$O$4:$Y$6,3,FALSE),S78,POWER($I$10*$E$8,-1))</f>
        <v>42873890.505145535</v>
      </c>
      <c r="Y78" s="104">
        <f t="shared" si="2"/>
        <v>11.842105263157894</v>
      </c>
      <c r="Z78" s="103" t="str">
        <f>IF(Y78&lt;10,"Columna Corta",IF(AND(10&lt;=Y78,Y78&lt;VLOOKUP($E$3,Parámetros!$O$4:$Y$6,10,FALSE))=TRUE,"Columna Intermedia",IF(AND(VLOOKUP($E$3,Parámetros!$O$4:$Y$6,10,FALSE)&lt;=Y78,Y78&lt;50)=TRUE,"Columna Larga","Elemento Esbelto")))</f>
        <v>Columna Intermedia</v>
      </c>
      <c r="AA78" s="81" t="str">
        <f>IF(Y78&lt;10,"Columna Corta",IF(AND(10&lt;=Y78,Y78&lt;VLOOKUP($E$3,Parámetros!$O$4:$Y$6,11,FALSE))=TRUE,"Columna Intermedia",IF(AND(VLOOKUP($E$3,Parámetros!$O$4:$Y$6,11,FALSE)&lt;=Y78,Y78&lt;50)=TRUE,"Columna Larga","Elemento Esbelto")))</f>
        <v>Columna Intermedia</v>
      </c>
    </row>
    <row r="79" spans="16:27" x14ac:dyDescent="0.2">
      <c r="P79" s="89">
        <v>19</v>
      </c>
      <c r="Q79" s="89">
        <v>24</v>
      </c>
      <c r="R79" s="89">
        <f t="shared" si="3"/>
        <v>456</v>
      </c>
      <c r="S79" s="89">
        <f t="shared" si="0"/>
        <v>21888</v>
      </c>
      <c r="T79" s="89">
        <f t="shared" si="1"/>
        <v>1824</v>
      </c>
      <c r="U79" s="89">
        <f>PRODUCT(R79,VLOOKUP($E$3,Parámetros!$O$4:$W$6,8,FALSE))</f>
        <v>34200</v>
      </c>
      <c r="V79" s="104">
        <f>IF(Y79&lt;10,PRODUCT(R79,VLOOKUP($E$3,Parámetros!$O$4:$Y$6,5,FALSE)),IF(AND(10&lt;=Y79,Y79&lt;VLOOKUP($E$3,Parámetros!$O$4:$Y$6,10,FALSE))=TRUE,PRODUCT(VLOOKUP($E$3,Parámetros!$O$4:$Y$6,5,FALSE),R79,1-(Y79/VLOOKUP($E$3,Parámetros!$O$4:$Y$6,10,FALSE))^4/3),IF(AND(VLOOKUP($E$3,Parámetros!$O$4:$Y$6,10,FALSE)&lt;=Y79,Y79&lt;50)=TRUE,PRODUCT(PI()^2,VLOOKUP($E$3,Parámetros!$O$4:$Y$6,3,FALSE),R79,POWER(2.5*Y79^2,-1))," ")))</f>
        <v>34402.74056548642</v>
      </c>
      <c r="W79" s="89">
        <f>IF(Y79&lt;10,PRODUCT(R79,VLOOKUP($E$3,Parámetros!$O$4:$Y$6,5,FALSE)),IF(AND(10&lt;=Y79,Y79&lt;VLOOKUP($E$3,Parámetros!$O$4:$Y$6,11,FALSE))=TRUE,PRODUCT(VLOOKUP($E$3,Parámetros!$O$4:$Y$6,5,FALSE),R79,1-(Y79/VLOOKUP($E$3,Parámetros!$O$4:$Y$6,11,FALSE))^4/3),IF(AND(VLOOKUP($E$3,Parámetros!$O$4:$Y$6,11,FALSE)&lt;=Y79,Y79&lt;50)=TRUE,PRODUCT(PI()^2,VLOOKUP($E$3,Parámetros!$O$4:$Y$6,3,FALSE),R79,POWER(2.5*Y79^2,-1))," ")))</f>
        <v>35541.926313569325</v>
      </c>
      <c r="X79" s="104">
        <f>PRODUCT(PI()^2,VLOOKUP($E$3,Parámetros!$O$4:$Y$6,3,FALSE),S79,POWER($I$10*$E$8,-1))</f>
        <v>86410360.452417552</v>
      </c>
      <c r="Y79" s="104">
        <f t="shared" si="2"/>
        <v>11.842105263157894</v>
      </c>
      <c r="Z79" s="103" t="str">
        <f>IF(Y79&lt;10,"Columna Corta",IF(AND(10&lt;=Y79,Y79&lt;VLOOKUP($E$3,Parámetros!$O$4:$Y$6,10,FALSE))=TRUE,"Columna Intermedia",IF(AND(VLOOKUP($E$3,Parámetros!$O$4:$Y$6,10,FALSE)&lt;=Y79,Y79&lt;50)=TRUE,"Columna Larga","Elemento Esbelto")))</f>
        <v>Columna Intermedia</v>
      </c>
      <c r="AA79" s="81" t="str">
        <f>IF(Y79&lt;10,"Columna Corta",IF(AND(10&lt;=Y79,Y79&lt;VLOOKUP($E$3,Parámetros!$O$4:$Y$6,11,FALSE))=TRUE,"Columna Intermedia",IF(AND(VLOOKUP($E$3,Parámetros!$O$4:$Y$6,11,FALSE)&lt;=Y79,Y79&lt;50)=TRUE,"Columna Larga","Elemento Esbelto")))</f>
        <v>Columna Intermedia</v>
      </c>
    </row>
    <row r="80" spans="16:27" x14ac:dyDescent="0.2">
      <c r="P80" s="89">
        <v>19</v>
      </c>
      <c r="Q80" s="89">
        <v>29</v>
      </c>
      <c r="R80" s="89">
        <f t="shared" si="3"/>
        <v>551</v>
      </c>
      <c r="S80" s="89">
        <f t="shared" si="0"/>
        <v>38615.916666666664</v>
      </c>
      <c r="T80" s="89">
        <f t="shared" si="1"/>
        <v>2663.1666666666665</v>
      </c>
      <c r="U80" s="89">
        <f>PRODUCT(R80,VLOOKUP($E$3,Parámetros!$O$4:$W$6,8,FALSE))</f>
        <v>41325</v>
      </c>
      <c r="V80" s="104">
        <f>IF(Y80&lt;10,PRODUCT(R80,VLOOKUP($E$3,Parámetros!$O$4:$Y$6,5,FALSE)),IF(AND(10&lt;=Y80,Y80&lt;VLOOKUP($E$3,Parámetros!$O$4:$Y$6,10,FALSE))=TRUE,PRODUCT(VLOOKUP($E$3,Parámetros!$O$4:$Y$6,5,FALSE),R80,1-(Y80/VLOOKUP($E$3,Parámetros!$O$4:$Y$6,10,FALSE))^4/3),IF(AND(VLOOKUP($E$3,Parámetros!$O$4:$Y$6,10,FALSE)&lt;=Y80,Y80&lt;50)=TRUE,PRODUCT(PI()^2,VLOOKUP($E$3,Parámetros!$O$4:$Y$6,3,FALSE),R80,POWER(2.5*Y80^2,-1))," ")))</f>
        <v>41569.978183296094</v>
      </c>
      <c r="W80" s="89">
        <f>IF(Y80&lt;10,PRODUCT(R80,VLOOKUP($E$3,Parámetros!$O$4:$Y$6,5,FALSE)),IF(AND(10&lt;=Y80,Y80&lt;VLOOKUP($E$3,Parámetros!$O$4:$Y$6,11,FALSE))=TRUE,PRODUCT(VLOOKUP($E$3,Parámetros!$O$4:$Y$6,5,FALSE),R80,1-(Y80/VLOOKUP($E$3,Parámetros!$O$4:$Y$6,11,FALSE))^4/3),IF(AND(VLOOKUP($E$3,Parámetros!$O$4:$Y$6,11,FALSE)&lt;=Y80,Y80&lt;50)=TRUE,PRODUCT(PI()^2,VLOOKUP($E$3,Parámetros!$O$4:$Y$6,3,FALSE),R80,POWER(2.5*Y80^2,-1))," ")))</f>
        <v>42946.494295562938</v>
      </c>
      <c r="X80" s="104">
        <f>PRODUCT(PI()^2,VLOOKUP($E$3,Parámetros!$O$4:$Y$6,3,FALSE),S80,POWER($I$10*$E$8,-1))</f>
        <v>152449528.43417329</v>
      </c>
      <c r="Y80" s="104">
        <f t="shared" si="2"/>
        <v>11.842105263157894</v>
      </c>
      <c r="Z80" s="103" t="str">
        <f>IF(Y80&lt;10,"Columna Corta",IF(AND(10&lt;=Y80,Y80&lt;VLOOKUP($E$3,Parámetros!$O$4:$Y$6,10,FALSE))=TRUE,"Columna Intermedia",IF(AND(VLOOKUP($E$3,Parámetros!$O$4:$Y$6,10,FALSE)&lt;=Y80,Y80&lt;50)=TRUE,"Columna Larga","Elemento Esbelto")))</f>
        <v>Columna Intermedia</v>
      </c>
      <c r="AA80" s="81" t="str">
        <f>IF(Y80&lt;10,"Columna Corta",IF(AND(10&lt;=Y80,Y80&lt;VLOOKUP($E$3,Parámetros!$O$4:$Y$6,11,FALSE))=TRUE,"Columna Intermedia",IF(AND(VLOOKUP($E$3,Parámetros!$O$4:$Y$6,11,FALSE)&lt;=Y80,Y80&lt;50)=TRUE,"Columna Larga","Elemento Esbelto")))</f>
        <v>Columna Intermedia</v>
      </c>
    </row>
    <row r="81" spans="16:27" x14ac:dyDescent="0.2">
      <c r="P81" s="89">
        <v>24</v>
      </c>
      <c r="Q81" s="89">
        <v>24</v>
      </c>
      <c r="R81" s="89">
        <f t="shared" si="3"/>
        <v>576</v>
      </c>
      <c r="S81" s="89">
        <f t="shared" si="0"/>
        <v>27648</v>
      </c>
      <c r="T81" s="89">
        <f t="shared" si="1"/>
        <v>2304</v>
      </c>
      <c r="U81" s="89">
        <f>PRODUCT(R81,VLOOKUP($E$3,Parámetros!$O$4:$W$6,8,FALSE))</f>
        <v>43200</v>
      </c>
      <c r="V81" s="104">
        <f>IF(Y81&lt;10,PRODUCT(R81,VLOOKUP($E$3,Parámetros!$O$4:$Y$6,5,FALSE)),IF(AND(10&lt;=Y81,Y81&lt;VLOOKUP($E$3,Parámetros!$O$4:$Y$6,10,FALSE))=TRUE,PRODUCT(VLOOKUP($E$3,Parámetros!$O$4:$Y$6,5,FALSE),R81,1-(Y81/VLOOKUP($E$3,Parámetros!$O$4:$Y$6,10,FALSE))^4/3),IF(AND(VLOOKUP($E$3,Parámetros!$O$4:$Y$6,10,FALSE)&lt;=Y81,Y81&lt;50)=TRUE,PRODUCT(PI()^2,VLOOKUP($E$3,Parámetros!$O$4:$Y$6,3,FALSE),R81,POWER(2.5*Y81^2,-1))," ")))</f>
        <v>46080</v>
      </c>
      <c r="W81" s="89">
        <f>IF(Y81&lt;10,PRODUCT(R81,VLOOKUP($E$3,Parámetros!$O$4:$Y$6,5,FALSE)),IF(AND(10&lt;=Y81,Y81&lt;VLOOKUP($E$3,Parámetros!$O$4:$Y$6,11,FALSE))=TRUE,PRODUCT(VLOOKUP($E$3,Parámetros!$O$4:$Y$6,5,FALSE),R81,1-(Y81/VLOOKUP($E$3,Parámetros!$O$4:$Y$6,11,FALSE))^4/3),IF(AND(VLOOKUP($E$3,Parámetros!$O$4:$Y$6,11,FALSE)&lt;=Y81,Y81&lt;50)=TRUE,PRODUCT(PI()^2,VLOOKUP($E$3,Parámetros!$O$4:$Y$6,3,FALSE),R81,POWER(2.5*Y81^2,-1))," ")))</f>
        <v>46080</v>
      </c>
      <c r="X81" s="104">
        <f>PRODUCT(PI()^2,VLOOKUP($E$3,Parámetros!$O$4:$Y$6,3,FALSE),S81,POWER($I$10*$E$8,-1))</f>
        <v>109149928.99252743</v>
      </c>
      <c r="Y81" s="104">
        <f t="shared" si="2"/>
        <v>9.375</v>
      </c>
      <c r="Z81" s="103" t="str">
        <f>IF(Y81&lt;10,"Columna Corta",IF(AND(10&lt;=Y81,Y81&lt;VLOOKUP($E$3,Parámetros!$O$4:$Y$6,10,FALSE))=TRUE,"Columna Intermedia",IF(AND(VLOOKUP($E$3,Parámetros!$O$4:$Y$6,10,FALSE)&lt;=Y81,Y81&lt;50)=TRUE,"Columna Larga","Elemento Esbelto")))</f>
        <v>Columna Corta</v>
      </c>
      <c r="AA81" s="81" t="str">
        <f>IF(Y81&lt;10,"Columna Corta",IF(AND(10&lt;=Y81,Y81&lt;VLOOKUP($E$3,Parámetros!$O$4:$Y$6,11,FALSE))=TRUE,"Columna Intermedia",IF(AND(VLOOKUP($E$3,Parámetros!$O$4:$Y$6,11,FALSE)&lt;=Y81,Y81&lt;50)=TRUE,"Columna Larga","Elemento Esbelto")))</f>
        <v>Columna Corta</v>
      </c>
    </row>
    <row r="82" spans="16:27" x14ac:dyDescent="0.2">
      <c r="P82" s="89">
        <v>24</v>
      </c>
      <c r="Q82" s="89">
        <v>29</v>
      </c>
      <c r="R82" s="89">
        <f t="shared" si="3"/>
        <v>696</v>
      </c>
      <c r="S82" s="89">
        <f t="shared" si="0"/>
        <v>48778</v>
      </c>
      <c r="T82" s="89">
        <f t="shared" si="1"/>
        <v>3364</v>
      </c>
      <c r="U82" s="89">
        <f>PRODUCT(R82,VLOOKUP($E$3,Parámetros!$O$4:$W$6,8,FALSE))</f>
        <v>52200</v>
      </c>
      <c r="V82" s="104">
        <f>IF(Y82&lt;10,PRODUCT(R82,VLOOKUP($E$3,Parámetros!$O$4:$Y$6,5,FALSE)),IF(AND(10&lt;=Y82,Y82&lt;VLOOKUP($E$3,Parámetros!$O$4:$Y$6,10,FALSE))=TRUE,PRODUCT(VLOOKUP($E$3,Parámetros!$O$4:$Y$6,5,FALSE),R82,1-(Y82/VLOOKUP($E$3,Parámetros!$O$4:$Y$6,10,FALSE))^4/3),IF(AND(VLOOKUP($E$3,Parámetros!$O$4:$Y$6,10,FALSE)&lt;=Y82,Y82&lt;50)=TRUE,PRODUCT(PI()^2,VLOOKUP($E$3,Parámetros!$O$4:$Y$6,3,FALSE),R82,POWER(2.5*Y82^2,-1))," ")))</f>
        <v>55680</v>
      </c>
      <c r="W82" s="89">
        <f>IF(Y82&lt;10,PRODUCT(R82,VLOOKUP($E$3,Parámetros!$O$4:$Y$6,5,FALSE)),IF(AND(10&lt;=Y82,Y82&lt;VLOOKUP($E$3,Parámetros!$O$4:$Y$6,11,FALSE))=TRUE,PRODUCT(VLOOKUP($E$3,Parámetros!$O$4:$Y$6,5,FALSE),R82,1-(Y82/VLOOKUP($E$3,Parámetros!$O$4:$Y$6,11,FALSE))^4/3),IF(AND(VLOOKUP($E$3,Parámetros!$O$4:$Y$6,11,FALSE)&lt;=Y82,Y82&lt;50)=TRUE,PRODUCT(PI()^2,VLOOKUP($E$3,Parámetros!$O$4:$Y$6,3,FALSE),R82,POWER(2.5*Y82^2,-1))," ")))</f>
        <v>55680</v>
      </c>
      <c r="X82" s="104">
        <f>PRODUCT(PI()^2,VLOOKUP($E$3,Parámetros!$O$4:$Y$6,3,FALSE),S82,POWER($I$10*$E$8,-1))</f>
        <v>192567825.3905347</v>
      </c>
      <c r="Y82" s="104">
        <f t="shared" si="2"/>
        <v>9.375</v>
      </c>
      <c r="Z82" s="103" t="str">
        <f>IF(Y82&lt;10,"Columna Corta",IF(AND(10&lt;=Y82,Y82&lt;VLOOKUP($E$3,Parámetros!$O$4:$Y$6,10,FALSE))=TRUE,"Columna Intermedia",IF(AND(VLOOKUP($E$3,Parámetros!$O$4:$Y$6,10,FALSE)&lt;=Y82,Y82&lt;50)=TRUE,"Columna Larga","Elemento Esbelto")))</f>
        <v>Columna Corta</v>
      </c>
      <c r="AA82" s="81" t="str">
        <f>IF(Y82&lt;10,"Columna Corta",IF(AND(10&lt;=Y82,Y82&lt;VLOOKUP($E$3,Parámetros!$O$4:$Y$6,11,FALSE))=TRUE,"Columna Intermedia",IF(AND(VLOOKUP($E$3,Parámetros!$O$4:$Y$6,11,FALSE)&lt;=Y82,Y82&lt;50)=TRUE,"Columna Larga","Elemento Esbelto")))</f>
        <v>Columna Corta</v>
      </c>
    </row>
    <row r="83" spans="16:27" x14ac:dyDescent="0.2">
      <c r="P83" s="89">
        <v>29</v>
      </c>
      <c r="Q83" s="89">
        <v>29</v>
      </c>
      <c r="R83" s="89">
        <f t="shared" si="3"/>
        <v>841</v>
      </c>
      <c r="S83" s="89">
        <f t="shared" si="0"/>
        <v>58940.083333333328</v>
      </c>
      <c r="T83" s="89">
        <f t="shared" si="1"/>
        <v>4064.833333333333</v>
      </c>
      <c r="U83" s="89">
        <f>PRODUCT(R83,VLOOKUP($E$3,Parámetros!$O$4:$W$6,8,FALSE))</f>
        <v>63075</v>
      </c>
      <c r="V83" s="104">
        <f>IF(Y83&lt;10,PRODUCT(R83,VLOOKUP($E$3,Parámetros!$O$4:$Y$6,5,FALSE)),IF(AND(10&lt;=Y83,Y83&lt;VLOOKUP($E$3,Parámetros!$O$4:$Y$6,10,FALSE))=TRUE,PRODUCT(VLOOKUP($E$3,Parámetros!$O$4:$Y$6,5,FALSE),R83,1-(Y83/VLOOKUP($E$3,Parámetros!$O$4:$Y$6,10,FALSE))^4/3),IF(AND(VLOOKUP($E$3,Parámetros!$O$4:$Y$6,10,FALSE)&lt;=Y83,Y83&lt;50)=TRUE,PRODUCT(PI()^2,VLOOKUP($E$3,Parámetros!$O$4:$Y$6,3,FALSE),R83,POWER(2.5*Y83^2,-1))," ")))</f>
        <v>67280</v>
      </c>
      <c r="W83" s="89">
        <f>IF(Y83&lt;10,PRODUCT(R83,VLOOKUP($E$3,Parámetros!$O$4:$Y$6,5,FALSE)),IF(AND(10&lt;=Y83,Y83&lt;VLOOKUP($E$3,Parámetros!$O$4:$Y$6,11,FALSE))=TRUE,PRODUCT(VLOOKUP($E$3,Parámetros!$O$4:$Y$6,5,FALSE),R83,1-(Y83/VLOOKUP($E$3,Parámetros!$O$4:$Y$6,11,FALSE))^4/3),IF(AND(VLOOKUP($E$3,Parámetros!$O$4:$Y$6,11,FALSE)&lt;=Y83,Y83&lt;50)=TRUE,PRODUCT(PI()^2,VLOOKUP($E$3,Parámetros!$O$4:$Y$6,3,FALSE),R83,POWER(2.5*Y83^2,-1))," ")))</f>
        <v>67280</v>
      </c>
      <c r="X83" s="104">
        <f>PRODUCT(PI()^2,VLOOKUP($E$3,Parámetros!$O$4:$Y$6,3,FALSE),S83,POWER($I$10*$E$8,-1))</f>
        <v>232686122.34689605</v>
      </c>
      <c r="Y83" s="104">
        <f t="shared" si="2"/>
        <v>7.7586206896551726</v>
      </c>
      <c r="Z83" s="103" t="str">
        <f>IF(Y83&lt;10,"Columna Corta",IF(AND(10&lt;=Y83,Y83&lt;VLOOKUP($E$3,Parámetros!$O$4:$Y$6,10,FALSE))=TRUE,"Columna Intermedia",IF(AND(VLOOKUP($E$3,Parámetros!$O$4:$Y$6,10,FALSE)&lt;=Y83,Y83&lt;50)=TRUE,"Columna Larga","Elemento Esbelto")))</f>
        <v>Columna Corta</v>
      </c>
      <c r="AA83" s="81" t="str">
        <f>IF(Y83&lt;10,"Columna Corta",IF(AND(10&lt;=Y83,Y83&lt;VLOOKUP($E$3,Parámetros!$O$4:$Y$6,11,FALSE))=TRUE,"Columna Intermedia",IF(AND(VLOOKUP($E$3,Parámetros!$O$4:$Y$6,11,FALSE)&lt;=Y83,Y83&lt;50)=TRUE,"Columna Larga","Elemento Esbelto")))</f>
        <v>Columna Corta</v>
      </c>
    </row>
  </sheetData>
  <mergeCells count="24">
    <mergeCell ref="A10:C10"/>
    <mergeCell ref="H7:H8"/>
    <mergeCell ref="G7:G8"/>
    <mergeCell ref="I4:J4"/>
    <mergeCell ref="I5:K5"/>
    <mergeCell ref="I8:K8"/>
    <mergeCell ref="G3:G5"/>
    <mergeCell ref="I7:K7"/>
    <mergeCell ref="D10:H10"/>
    <mergeCell ref="Z18:AA18"/>
    <mergeCell ref="A17:E17"/>
    <mergeCell ref="Y18:Y19"/>
    <mergeCell ref="T18:T19"/>
    <mergeCell ref="U18:U19"/>
    <mergeCell ref="V18:V19"/>
    <mergeCell ref="W18:W19"/>
    <mergeCell ref="X18:X19"/>
    <mergeCell ref="U17:W17"/>
    <mergeCell ref="S18:S19"/>
    <mergeCell ref="P18:P19"/>
    <mergeCell ref="Q18:Q19"/>
    <mergeCell ref="R18:R19"/>
    <mergeCell ref="P17:Q17"/>
    <mergeCell ref="R17:T17"/>
  </mergeCells>
  <pageMargins left="0.7" right="0.7" top="0.75" bottom="0.75" header="0.3" footer="0.3"/>
  <pageSetup paperSize="9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Parámetros!$AA$4:$AA$9</xm:f>
          </x14:formula1>
          <xm:sqref>D10</xm:sqref>
        </x14:dataValidation>
        <x14:dataValidation type="list" allowBlank="1" showInputMessage="1" showErrorMessage="1" xr:uid="{00000000-0002-0000-0900-000001000000}">
          <x14:formula1>
            <xm:f>Parámetros!$O$4:$O$6</xm:f>
          </x14:formula1>
          <xm:sqref>E3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24"/>
  <sheetViews>
    <sheetView topLeftCell="N1" workbookViewId="0">
      <selection activeCell="T5" sqref="T5"/>
    </sheetView>
  </sheetViews>
  <sheetFormatPr baseColWidth="10" defaultRowHeight="15" x14ac:dyDescent="0.25"/>
  <cols>
    <col min="1" max="1" width="7.28515625" customWidth="1"/>
    <col min="2" max="2" width="10.42578125" customWidth="1"/>
    <col min="3" max="3" width="6.28515625" customWidth="1"/>
    <col min="4" max="4" width="7.85546875" customWidth="1"/>
    <col min="5" max="5" width="6.7109375" customWidth="1"/>
    <col min="6" max="6" width="8" customWidth="1"/>
    <col min="7" max="7" width="7.140625" customWidth="1"/>
    <col min="8" max="8" width="8.140625" customWidth="1"/>
    <col min="9" max="9" width="5.7109375" customWidth="1"/>
    <col min="10" max="10" width="6" customWidth="1"/>
    <col min="11" max="11" width="6.42578125" customWidth="1"/>
    <col min="12" max="12" width="4.42578125" bestFit="1" customWidth="1"/>
    <col min="13" max="13" width="3.5703125" bestFit="1" customWidth="1"/>
    <col min="14" max="14" width="11.5703125" bestFit="1" customWidth="1"/>
    <col min="15" max="15" width="7.85546875" bestFit="1" customWidth="1"/>
    <col min="16" max="16" width="6" bestFit="1" customWidth="1"/>
    <col min="17" max="17" width="7" bestFit="1" customWidth="1"/>
    <col min="18" max="19" width="4" bestFit="1" customWidth="1"/>
    <col min="20" max="21" width="3" bestFit="1" customWidth="1"/>
    <col min="22" max="22" width="4" bestFit="1" customWidth="1"/>
    <col min="23" max="23" width="5" bestFit="1" customWidth="1"/>
    <col min="24" max="24" width="7.7109375" bestFit="1" customWidth="1"/>
    <col min="25" max="25" width="7.85546875" bestFit="1" customWidth="1"/>
    <col min="26" max="26" width="7.85546875" customWidth="1"/>
    <col min="27" max="27" width="115.5703125" bestFit="1" customWidth="1"/>
  </cols>
  <sheetData>
    <row r="1" spans="1:28" ht="25.5" customHeight="1" x14ac:dyDescent="0.25">
      <c r="A1" s="119" t="s">
        <v>93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O1" s="148" t="s">
        <v>172</v>
      </c>
      <c r="P1" s="148"/>
      <c r="Q1" s="148"/>
      <c r="R1" s="148"/>
      <c r="S1" s="148"/>
      <c r="T1" s="148"/>
      <c r="U1" s="148"/>
      <c r="V1" s="148"/>
      <c r="AA1" s="60" t="s">
        <v>281</v>
      </c>
    </row>
    <row r="3" spans="1:28" x14ac:dyDescent="0.25">
      <c r="A3" s="121" t="s">
        <v>3</v>
      </c>
      <c r="B3" s="121"/>
      <c r="C3" s="125" t="s">
        <v>24</v>
      </c>
      <c r="D3" s="121" t="s">
        <v>5</v>
      </c>
      <c r="E3" s="121"/>
      <c r="F3" s="121" t="s">
        <v>6</v>
      </c>
      <c r="G3" s="121"/>
      <c r="H3" s="125" t="s">
        <v>94</v>
      </c>
      <c r="I3" s="125" t="s">
        <v>11</v>
      </c>
      <c r="J3" s="125"/>
      <c r="K3" s="125"/>
      <c r="O3" s="51" t="s">
        <v>12</v>
      </c>
      <c r="P3" s="51" t="s">
        <v>106</v>
      </c>
      <c r="Q3" s="51" t="s">
        <v>107</v>
      </c>
      <c r="R3" s="51" t="s">
        <v>108</v>
      </c>
      <c r="S3" s="51" t="s">
        <v>109</v>
      </c>
      <c r="T3" s="51" t="s">
        <v>110</v>
      </c>
      <c r="U3" s="51" t="s">
        <v>111</v>
      </c>
      <c r="V3" s="51" t="s">
        <v>112</v>
      </c>
      <c r="W3" s="51" t="s">
        <v>279</v>
      </c>
      <c r="X3" s="80" t="s">
        <v>302</v>
      </c>
      <c r="Y3" s="80" t="s">
        <v>303</v>
      </c>
      <c r="Z3" s="87"/>
      <c r="AA3" s="52" t="s">
        <v>282</v>
      </c>
      <c r="AB3" s="52" t="s">
        <v>289</v>
      </c>
    </row>
    <row r="4" spans="1:28" ht="17.25" customHeight="1" x14ac:dyDescent="0.25">
      <c r="A4" s="125" t="s">
        <v>23</v>
      </c>
      <c r="B4" s="122" t="s">
        <v>92</v>
      </c>
      <c r="C4" s="125"/>
      <c r="D4" s="125" t="s">
        <v>7</v>
      </c>
      <c r="E4" s="125" t="s">
        <v>8</v>
      </c>
      <c r="F4" s="125" t="s">
        <v>9</v>
      </c>
      <c r="G4" s="125" t="s">
        <v>10</v>
      </c>
      <c r="H4" s="125"/>
      <c r="I4" s="125" t="s">
        <v>12</v>
      </c>
      <c r="J4" s="125"/>
      <c r="K4" s="125"/>
      <c r="O4" s="1" t="s">
        <v>13</v>
      </c>
      <c r="P4" s="1">
        <v>95000</v>
      </c>
      <c r="Q4" s="1">
        <v>130000</v>
      </c>
      <c r="R4" s="1">
        <v>210</v>
      </c>
      <c r="S4" s="1">
        <v>145</v>
      </c>
      <c r="T4" s="1">
        <v>40</v>
      </c>
      <c r="U4" s="1">
        <v>15</v>
      </c>
      <c r="V4" s="1">
        <v>145</v>
      </c>
      <c r="W4" s="1">
        <v>1100</v>
      </c>
      <c r="X4" s="1">
        <v>17.98</v>
      </c>
      <c r="Y4" s="1">
        <v>20.059999999999999</v>
      </c>
      <c r="Z4" s="1"/>
      <c r="AA4" s="62" t="s">
        <v>283</v>
      </c>
      <c r="AB4" s="1">
        <v>1</v>
      </c>
    </row>
    <row r="5" spans="1:28" ht="17.25" customHeight="1" x14ac:dyDescent="0.25">
      <c r="A5" s="125"/>
      <c r="B5" s="122"/>
      <c r="C5" s="125"/>
      <c r="D5" s="125"/>
      <c r="E5" s="125"/>
      <c r="F5" s="125"/>
      <c r="G5" s="125"/>
      <c r="H5" s="125"/>
      <c r="I5" s="125" t="s">
        <v>16</v>
      </c>
      <c r="J5" s="125" t="s">
        <v>17</v>
      </c>
      <c r="K5" s="125" t="s">
        <v>18</v>
      </c>
      <c r="O5" s="1" t="s">
        <v>14</v>
      </c>
      <c r="P5" s="1">
        <v>75000</v>
      </c>
      <c r="Q5" s="1">
        <v>100000</v>
      </c>
      <c r="R5" s="1">
        <v>150</v>
      </c>
      <c r="S5" s="1">
        <v>110</v>
      </c>
      <c r="T5" s="1">
        <v>28</v>
      </c>
      <c r="U5" s="1">
        <v>12</v>
      </c>
      <c r="V5" s="1">
        <v>105</v>
      </c>
      <c r="W5" s="1">
        <v>1000</v>
      </c>
      <c r="X5" s="1">
        <v>18.34</v>
      </c>
      <c r="Y5" s="88">
        <v>20.2</v>
      </c>
      <c r="Z5" s="1"/>
      <c r="AA5" s="62" t="s">
        <v>284</v>
      </c>
      <c r="AB5" s="1">
        <v>1.2</v>
      </c>
    </row>
    <row r="6" spans="1:28" ht="18.75" customHeight="1" x14ac:dyDescent="0.25">
      <c r="A6" s="125"/>
      <c r="B6" s="122"/>
      <c r="C6" s="125"/>
      <c r="D6" s="125"/>
      <c r="E6" s="125"/>
      <c r="F6" s="125"/>
      <c r="G6" s="125"/>
      <c r="H6" s="125"/>
      <c r="I6" s="125"/>
      <c r="J6" s="125"/>
      <c r="K6" s="125"/>
      <c r="L6" s="2" t="s">
        <v>119</v>
      </c>
      <c r="M6" s="2" t="s">
        <v>120</v>
      </c>
      <c r="O6" s="1" t="s">
        <v>15</v>
      </c>
      <c r="P6" s="1">
        <v>55000</v>
      </c>
      <c r="Q6" s="1">
        <v>90000</v>
      </c>
      <c r="R6" s="1">
        <v>100</v>
      </c>
      <c r="S6" s="1">
        <v>80</v>
      </c>
      <c r="T6" s="1">
        <v>15</v>
      </c>
      <c r="U6" s="1">
        <v>8</v>
      </c>
      <c r="V6" s="1">
        <v>75</v>
      </c>
      <c r="W6" s="1">
        <v>900</v>
      </c>
      <c r="X6" s="1">
        <v>18.420000000000002</v>
      </c>
      <c r="Y6" s="1">
        <v>22.47</v>
      </c>
      <c r="Z6" s="1"/>
      <c r="AA6" s="62" t="s">
        <v>285</v>
      </c>
      <c r="AB6" s="1">
        <v>1.5</v>
      </c>
    </row>
    <row r="7" spans="1:28" x14ac:dyDescent="0.25">
      <c r="A7" s="4" t="s">
        <v>19</v>
      </c>
      <c r="B7" s="5" t="s">
        <v>212</v>
      </c>
      <c r="C7" s="6">
        <v>3</v>
      </c>
      <c r="D7" s="6">
        <v>1</v>
      </c>
      <c r="E7" s="6">
        <v>1</v>
      </c>
      <c r="F7" s="6">
        <v>0.6</v>
      </c>
      <c r="G7" s="6">
        <v>0.7</v>
      </c>
      <c r="H7" s="11">
        <v>4.8000000000000001E-4</v>
      </c>
      <c r="I7" s="12">
        <v>0.33</v>
      </c>
      <c r="J7" s="12">
        <v>0.3</v>
      </c>
      <c r="K7" s="12">
        <v>0.27</v>
      </c>
      <c r="L7" s="13">
        <v>2</v>
      </c>
      <c r="M7" s="13">
        <v>1.5</v>
      </c>
      <c r="AA7" s="62" t="s">
        <v>286</v>
      </c>
      <c r="AB7" s="1">
        <v>2</v>
      </c>
    </row>
    <row r="8" spans="1:28" x14ac:dyDescent="0.25">
      <c r="A8" s="4" t="s">
        <v>20</v>
      </c>
      <c r="B8" s="5" t="s">
        <v>213</v>
      </c>
      <c r="C8" s="6">
        <v>6</v>
      </c>
      <c r="D8" s="6">
        <v>8</v>
      </c>
      <c r="E8" s="6">
        <v>4</v>
      </c>
      <c r="F8" s="6">
        <v>1.1000000000000001</v>
      </c>
      <c r="G8" s="6">
        <v>1.5</v>
      </c>
      <c r="H8" s="11">
        <v>9.7000000000000005E-4</v>
      </c>
      <c r="I8" s="12">
        <v>0.66</v>
      </c>
      <c r="J8" s="12">
        <v>0.6</v>
      </c>
      <c r="K8" s="12">
        <v>0.54</v>
      </c>
      <c r="L8" s="13">
        <v>4</v>
      </c>
      <c r="M8" s="13">
        <v>1.5</v>
      </c>
      <c r="AA8" s="62" t="s">
        <v>287</v>
      </c>
      <c r="AB8" s="1">
        <v>2</v>
      </c>
    </row>
    <row r="9" spans="1:28" x14ac:dyDescent="0.25">
      <c r="A9" s="4" t="s">
        <v>21</v>
      </c>
      <c r="B9" s="5" t="s">
        <v>214</v>
      </c>
      <c r="C9" s="6">
        <v>9.6999999999999993</v>
      </c>
      <c r="D9" s="6">
        <v>34.299999999999997</v>
      </c>
      <c r="E9" s="6">
        <v>10.6</v>
      </c>
      <c r="F9" s="6">
        <v>1.8</v>
      </c>
      <c r="G9" s="6">
        <v>2.4</v>
      </c>
      <c r="H9" s="11">
        <v>1.4400000000000001E-3</v>
      </c>
      <c r="I9" s="12">
        <v>1.07</v>
      </c>
      <c r="J9" s="12">
        <v>0.97</v>
      </c>
      <c r="K9" s="12">
        <v>0.88</v>
      </c>
      <c r="L9" s="13">
        <v>6.5</v>
      </c>
      <c r="M9" s="13">
        <v>1.5</v>
      </c>
      <c r="AA9" s="62" t="s">
        <v>288</v>
      </c>
      <c r="AB9" s="61">
        <v>3</v>
      </c>
    </row>
    <row r="10" spans="1:28" x14ac:dyDescent="0.25">
      <c r="A10" s="4" t="s">
        <v>22</v>
      </c>
      <c r="B10" s="5" t="s">
        <v>215</v>
      </c>
      <c r="C10" s="6">
        <v>13.5</v>
      </c>
      <c r="D10" s="6">
        <v>91.1</v>
      </c>
      <c r="E10" s="6">
        <v>20.2</v>
      </c>
      <c r="F10" s="6">
        <v>2.5</v>
      </c>
      <c r="G10" s="6">
        <v>3.3</v>
      </c>
      <c r="H10" s="11">
        <v>1.9300000000000001E-3</v>
      </c>
      <c r="I10" s="12">
        <v>1.48</v>
      </c>
      <c r="J10" s="12">
        <v>1.35</v>
      </c>
      <c r="K10" s="12">
        <v>1.21</v>
      </c>
      <c r="L10" s="14">
        <v>9</v>
      </c>
      <c r="M10" s="13">
        <v>1.5</v>
      </c>
    </row>
    <row r="11" spans="1:28" x14ac:dyDescent="0.25">
      <c r="A11" s="4" t="s">
        <v>25</v>
      </c>
      <c r="B11" s="5" t="s">
        <v>216</v>
      </c>
      <c r="C11" s="6">
        <v>21</v>
      </c>
      <c r="D11" s="6">
        <v>343</v>
      </c>
      <c r="E11" s="6">
        <v>49</v>
      </c>
      <c r="F11" s="6">
        <v>3.9</v>
      </c>
      <c r="G11" s="6">
        <v>5.2</v>
      </c>
      <c r="H11" s="11">
        <v>2.8999999999999998E-3</v>
      </c>
      <c r="I11" s="12">
        <v>2.31</v>
      </c>
      <c r="J11" s="12">
        <v>2.1</v>
      </c>
      <c r="K11" s="12">
        <v>1.89</v>
      </c>
      <c r="L11" s="14">
        <v>14</v>
      </c>
      <c r="M11" s="13">
        <v>1.5</v>
      </c>
    </row>
    <row r="12" spans="1:28" x14ac:dyDescent="0.25">
      <c r="A12" s="4" t="s">
        <v>26</v>
      </c>
      <c r="B12" s="5" t="s">
        <v>217</v>
      </c>
      <c r="C12" s="6">
        <v>28.5</v>
      </c>
      <c r="D12" s="6">
        <v>857.4</v>
      </c>
      <c r="E12" s="6">
        <v>90.2</v>
      </c>
      <c r="F12" s="6">
        <v>5.3</v>
      </c>
      <c r="G12" s="6">
        <v>7.1</v>
      </c>
      <c r="H12" s="11">
        <v>3.8700000000000002E-3</v>
      </c>
      <c r="I12" s="12">
        <v>3.13</v>
      </c>
      <c r="J12" s="12">
        <v>2.85</v>
      </c>
      <c r="K12" s="12">
        <v>2.56</v>
      </c>
      <c r="L12" s="14">
        <v>19</v>
      </c>
      <c r="M12" s="13">
        <v>1.5</v>
      </c>
    </row>
    <row r="13" spans="1:28" x14ac:dyDescent="0.25">
      <c r="A13" s="4" t="s">
        <v>27</v>
      </c>
      <c r="B13" s="5" t="s">
        <v>218</v>
      </c>
      <c r="C13" s="6">
        <v>36</v>
      </c>
      <c r="D13" s="6">
        <v>1728</v>
      </c>
      <c r="E13" s="6">
        <v>144</v>
      </c>
      <c r="F13" s="6">
        <v>6.7</v>
      </c>
      <c r="G13" s="6">
        <v>9</v>
      </c>
      <c r="H13" s="11">
        <v>4.8399999999999997E-3</v>
      </c>
      <c r="I13" s="12">
        <v>3.96</v>
      </c>
      <c r="J13" s="12">
        <v>3.6</v>
      </c>
      <c r="K13" s="12">
        <v>3.24</v>
      </c>
      <c r="L13" s="14">
        <v>24</v>
      </c>
      <c r="M13" s="13">
        <v>1.5</v>
      </c>
    </row>
    <row r="14" spans="1:28" x14ac:dyDescent="0.25">
      <c r="A14" s="4" t="s">
        <v>28</v>
      </c>
      <c r="B14" s="5" t="s">
        <v>219</v>
      </c>
      <c r="C14" s="6">
        <v>43.5</v>
      </c>
      <c r="D14" s="6">
        <v>3048.6</v>
      </c>
      <c r="E14" s="6">
        <v>210.2</v>
      </c>
      <c r="F14" s="6">
        <v>8.1</v>
      </c>
      <c r="G14" s="6">
        <v>10.9</v>
      </c>
      <c r="H14" s="11">
        <v>5.7999999999999996E-3</v>
      </c>
      <c r="I14" s="12">
        <v>4.78</v>
      </c>
      <c r="J14" s="12">
        <v>4.3499999999999996</v>
      </c>
      <c r="K14" s="12">
        <v>3.91</v>
      </c>
      <c r="L14" s="14">
        <v>29</v>
      </c>
      <c r="M14" s="13">
        <v>1.5</v>
      </c>
    </row>
    <row r="15" spans="1:28" x14ac:dyDescent="0.25">
      <c r="A15" s="4" t="s">
        <v>29</v>
      </c>
      <c r="B15" s="5" t="s">
        <v>220</v>
      </c>
      <c r="C15" s="6">
        <v>4</v>
      </c>
      <c r="D15" s="6">
        <v>1.3</v>
      </c>
      <c r="E15" s="6">
        <v>1.3</v>
      </c>
      <c r="F15" s="6">
        <v>1.3</v>
      </c>
      <c r="G15" s="6">
        <v>1.3</v>
      </c>
      <c r="H15" s="11">
        <v>6.4000000000000005E-4</v>
      </c>
      <c r="I15" s="12">
        <v>0.44</v>
      </c>
      <c r="J15" s="12">
        <v>0.4</v>
      </c>
      <c r="K15" s="12">
        <v>0.36</v>
      </c>
      <c r="L15" s="14">
        <v>2</v>
      </c>
      <c r="M15" s="13">
        <v>2</v>
      </c>
    </row>
    <row r="16" spans="1:28" x14ac:dyDescent="0.25">
      <c r="A16" s="4" t="s">
        <v>30</v>
      </c>
      <c r="B16" s="5" t="s">
        <v>221</v>
      </c>
      <c r="C16" s="6">
        <v>8</v>
      </c>
      <c r="D16" s="6">
        <v>10.7</v>
      </c>
      <c r="E16" s="6">
        <v>5.3</v>
      </c>
      <c r="F16" s="6">
        <v>2.7</v>
      </c>
      <c r="G16" s="6">
        <v>2.6</v>
      </c>
      <c r="H16" s="11">
        <v>1.2999999999999999E-3</v>
      </c>
      <c r="I16" s="12">
        <v>0.88</v>
      </c>
      <c r="J16" s="12">
        <v>0.8</v>
      </c>
      <c r="K16" s="12">
        <v>0.72</v>
      </c>
      <c r="L16" s="14">
        <v>4</v>
      </c>
      <c r="M16" s="13">
        <v>2</v>
      </c>
    </row>
    <row r="17" spans="1:13" x14ac:dyDescent="0.25">
      <c r="A17" s="4" t="s">
        <v>31</v>
      </c>
      <c r="B17" s="5" t="s">
        <v>222</v>
      </c>
      <c r="C17" s="6">
        <v>13</v>
      </c>
      <c r="D17" s="6">
        <v>45.8</v>
      </c>
      <c r="E17" s="6">
        <v>14.1</v>
      </c>
      <c r="F17" s="6">
        <v>4.3</v>
      </c>
      <c r="G17" s="6">
        <v>4.3</v>
      </c>
      <c r="H17" s="11">
        <v>1.9300000000000001E-3</v>
      </c>
      <c r="I17" s="12">
        <v>1.43</v>
      </c>
      <c r="J17" s="12">
        <v>1.3</v>
      </c>
      <c r="K17" s="12">
        <v>1.17</v>
      </c>
      <c r="L17" s="14">
        <v>6.5</v>
      </c>
      <c r="M17" s="13">
        <v>2</v>
      </c>
    </row>
    <row r="18" spans="1:13" x14ac:dyDescent="0.25">
      <c r="A18" s="4" t="s">
        <v>32</v>
      </c>
      <c r="B18" s="5" t="s">
        <v>223</v>
      </c>
      <c r="C18" s="6">
        <v>18</v>
      </c>
      <c r="D18" s="6">
        <v>121.5</v>
      </c>
      <c r="E18" s="6">
        <v>27</v>
      </c>
      <c r="F18" s="6">
        <v>6</v>
      </c>
      <c r="G18" s="6">
        <v>6</v>
      </c>
      <c r="H18" s="11">
        <v>2.5699999999999998E-3</v>
      </c>
      <c r="I18" s="12">
        <v>1.98</v>
      </c>
      <c r="J18" s="12">
        <v>1.8</v>
      </c>
      <c r="K18" s="12">
        <v>1.62</v>
      </c>
      <c r="L18" s="14">
        <v>9</v>
      </c>
      <c r="M18" s="13">
        <v>2</v>
      </c>
    </row>
    <row r="19" spans="1:13" x14ac:dyDescent="0.25">
      <c r="A19" s="4" t="s">
        <v>33</v>
      </c>
      <c r="B19" s="5" t="s">
        <v>224</v>
      </c>
      <c r="C19" s="6">
        <v>28</v>
      </c>
      <c r="D19" s="6">
        <v>457.3</v>
      </c>
      <c r="E19" s="6">
        <v>65.3</v>
      </c>
      <c r="F19" s="6">
        <v>9.3000000000000007</v>
      </c>
      <c r="G19" s="6">
        <v>9.3000000000000007</v>
      </c>
      <c r="H19" s="11">
        <v>3.8700000000000002E-3</v>
      </c>
      <c r="I19" s="12">
        <v>3.08</v>
      </c>
      <c r="J19" s="12">
        <v>2.8</v>
      </c>
      <c r="K19" s="12">
        <v>2.52</v>
      </c>
      <c r="L19" s="14">
        <v>14</v>
      </c>
      <c r="M19" s="13">
        <v>2</v>
      </c>
    </row>
    <row r="20" spans="1:13" x14ac:dyDescent="0.25">
      <c r="A20" s="4" t="s">
        <v>34</v>
      </c>
      <c r="B20" s="5" t="s">
        <v>225</v>
      </c>
      <c r="C20" s="6">
        <v>38</v>
      </c>
      <c r="D20" s="6">
        <v>1143.2</v>
      </c>
      <c r="E20" s="6">
        <v>120.3</v>
      </c>
      <c r="F20" s="6">
        <v>12.7</v>
      </c>
      <c r="G20" s="6">
        <v>12.6</v>
      </c>
      <c r="H20" s="11">
        <v>5.1700000000000001E-3</v>
      </c>
      <c r="I20" s="12">
        <v>4.18</v>
      </c>
      <c r="J20" s="12">
        <v>3.8</v>
      </c>
      <c r="K20" s="12">
        <v>3.42</v>
      </c>
      <c r="L20" s="14">
        <v>19</v>
      </c>
      <c r="M20" s="13">
        <v>2</v>
      </c>
    </row>
    <row r="21" spans="1:13" x14ac:dyDescent="0.25">
      <c r="A21" s="4" t="s">
        <v>35</v>
      </c>
      <c r="B21" s="5" t="s">
        <v>226</v>
      </c>
      <c r="C21" s="6">
        <v>48</v>
      </c>
      <c r="D21" s="6">
        <v>2304</v>
      </c>
      <c r="E21" s="6">
        <v>192</v>
      </c>
      <c r="F21" s="6">
        <v>16</v>
      </c>
      <c r="G21" s="6">
        <v>16</v>
      </c>
      <c r="H21" s="11">
        <v>6.4400000000000004E-3</v>
      </c>
      <c r="I21" s="12">
        <v>5.28</v>
      </c>
      <c r="J21" s="12">
        <v>4.8</v>
      </c>
      <c r="K21" s="12">
        <v>4.32</v>
      </c>
      <c r="L21" s="14">
        <v>24</v>
      </c>
      <c r="M21" s="13">
        <v>2</v>
      </c>
    </row>
    <row r="22" spans="1:13" x14ac:dyDescent="0.25">
      <c r="A22" s="4" t="s">
        <v>36</v>
      </c>
      <c r="B22" s="5" t="s">
        <v>227</v>
      </c>
      <c r="C22" s="6">
        <v>58</v>
      </c>
      <c r="D22" s="6">
        <v>4064.8</v>
      </c>
      <c r="E22" s="6">
        <v>280.3</v>
      </c>
      <c r="F22" s="6">
        <v>19.3</v>
      </c>
      <c r="G22" s="6">
        <v>19.3</v>
      </c>
      <c r="H22" s="11">
        <v>7.7400000000000004E-3</v>
      </c>
      <c r="I22" s="12">
        <v>6.38</v>
      </c>
      <c r="J22" s="12">
        <v>5.8</v>
      </c>
      <c r="K22" s="12">
        <v>5.22</v>
      </c>
      <c r="L22" s="14">
        <v>29</v>
      </c>
      <c r="M22" s="13">
        <v>2</v>
      </c>
    </row>
    <row r="23" spans="1:13" ht="22.5" x14ac:dyDescent="0.25">
      <c r="A23" s="4" t="s">
        <v>37</v>
      </c>
      <c r="B23" s="5" t="s">
        <v>228</v>
      </c>
      <c r="C23" s="6">
        <v>9</v>
      </c>
      <c r="D23" s="6">
        <v>6.7</v>
      </c>
      <c r="E23" s="6">
        <v>4.5</v>
      </c>
      <c r="F23" s="6">
        <v>6.7</v>
      </c>
      <c r="G23" s="6">
        <v>4.5</v>
      </c>
      <c r="H23" s="11">
        <v>1.4400000000000001E-3</v>
      </c>
      <c r="I23" s="12">
        <v>0.99</v>
      </c>
      <c r="J23" s="12">
        <v>0.9</v>
      </c>
      <c r="K23" s="12">
        <v>0.81</v>
      </c>
      <c r="L23" s="14">
        <v>3</v>
      </c>
      <c r="M23" s="13">
        <v>3</v>
      </c>
    </row>
    <row r="24" spans="1:13" x14ac:dyDescent="0.25">
      <c r="A24" s="4" t="s">
        <v>38</v>
      </c>
      <c r="B24" s="5" t="s">
        <v>229</v>
      </c>
      <c r="C24" s="6">
        <v>12</v>
      </c>
      <c r="D24" s="6">
        <v>16</v>
      </c>
      <c r="E24" s="6">
        <v>8</v>
      </c>
      <c r="F24" s="6">
        <v>9</v>
      </c>
      <c r="G24" s="6">
        <v>6</v>
      </c>
      <c r="H24" s="11">
        <v>1.9300000000000001E-3</v>
      </c>
      <c r="I24" s="12">
        <v>1.32</v>
      </c>
      <c r="J24" s="12">
        <v>1.2</v>
      </c>
      <c r="K24" s="12">
        <v>1.08</v>
      </c>
      <c r="L24" s="14">
        <v>4</v>
      </c>
      <c r="M24" s="13">
        <v>3</v>
      </c>
    </row>
    <row r="25" spans="1:13" x14ac:dyDescent="0.25">
      <c r="A25" s="4" t="s">
        <v>39</v>
      </c>
      <c r="B25" s="5" t="s">
        <v>230</v>
      </c>
      <c r="C25" s="6">
        <v>19.5</v>
      </c>
      <c r="D25" s="6">
        <v>68.599999999999994</v>
      </c>
      <c r="E25" s="6">
        <v>21.1</v>
      </c>
      <c r="F25" s="6">
        <v>14.6</v>
      </c>
      <c r="G25" s="6">
        <v>97.5</v>
      </c>
      <c r="H25" s="11">
        <v>2.8999999999999998E-3</v>
      </c>
      <c r="I25" s="12">
        <v>2.14</v>
      </c>
      <c r="J25" s="12">
        <v>1.95</v>
      </c>
      <c r="K25" s="12">
        <v>1.75</v>
      </c>
      <c r="L25" s="14">
        <v>6.5</v>
      </c>
      <c r="M25" s="13">
        <v>3</v>
      </c>
    </row>
    <row r="26" spans="1:13" x14ac:dyDescent="0.25">
      <c r="A26" s="4" t="s">
        <v>40</v>
      </c>
      <c r="B26" s="5" t="s">
        <v>231</v>
      </c>
      <c r="C26" s="6">
        <v>27</v>
      </c>
      <c r="D26" s="6">
        <v>182.2</v>
      </c>
      <c r="E26" s="6">
        <v>40.5</v>
      </c>
      <c r="F26" s="6">
        <v>20.2</v>
      </c>
      <c r="G26" s="6">
        <v>13.5</v>
      </c>
      <c r="H26" s="11">
        <v>3.8700000000000002E-3</v>
      </c>
      <c r="I26" s="12">
        <v>2.97</v>
      </c>
      <c r="J26" s="12">
        <v>2.7</v>
      </c>
      <c r="K26" s="12">
        <v>2.4300000000000002</v>
      </c>
      <c r="L26" s="14">
        <v>9</v>
      </c>
      <c r="M26" s="13">
        <v>3</v>
      </c>
    </row>
    <row r="27" spans="1:13" x14ac:dyDescent="0.25">
      <c r="A27" s="4" t="s">
        <v>41</v>
      </c>
      <c r="B27" s="5" t="s">
        <v>232</v>
      </c>
      <c r="C27" s="6">
        <v>42</v>
      </c>
      <c r="D27" s="6">
        <v>686</v>
      </c>
      <c r="E27" s="6">
        <v>98</v>
      </c>
      <c r="F27" s="6">
        <v>31.5</v>
      </c>
      <c r="G27" s="6">
        <v>21</v>
      </c>
      <c r="H27" s="11">
        <v>5.7999999999999996E-3</v>
      </c>
      <c r="I27" s="12">
        <v>4.62</v>
      </c>
      <c r="J27" s="12">
        <v>4.2</v>
      </c>
      <c r="K27" s="12">
        <v>3.78</v>
      </c>
      <c r="L27" s="14">
        <v>14</v>
      </c>
      <c r="M27" s="13">
        <v>3</v>
      </c>
    </row>
    <row r="28" spans="1:13" x14ac:dyDescent="0.25">
      <c r="A28" s="4" t="s">
        <v>42</v>
      </c>
      <c r="B28" s="5" t="s">
        <v>233</v>
      </c>
      <c r="C28" s="6">
        <v>57</v>
      </c>
      <c r="D28" s="6">
        <v>1714.7</v>
      </c>
      <c r="E28" s="6">
        <v>180.5</v>
      </c>
      <c r="F28" s="6">
        <v>42.7</v>
      </c>
      <c r="G28" s="6">
        <v>28.5</v>
      </c>
      <c r="H28" s="11">
        <v>7.7400000000000004E-3</v>
      </c>
      <c r="I28" s="12">
        <v>6.27</v>
      </c>
      <c r="J28" s="12">
        <v>5.7</v>
      </c>
      <c r="K28" s="12">
        <v>5.13</v>
      </c>
      <c r="L28" s="14">
        <v>19</v>
      </c>
      <c r="M28" s="13">
        <v>3</v>
      </c>
    </row>
    <row r="29" spans="1:13" x14ac:dyDescent="0.25">
      <c r="A29" s="4" t="s">
        <v>43</v>
      </c>
      <c r="B29" s="5" t="s">
        <v>234</v>
      </c>
      <c r="C29" s="6">
        <v>72</v>
      </c>
      <c r="D29" s="6">
        <v>3456</v>
      </c>
      <c r="E29" s="6">
        <v>288</v>
      </c>
      <c r="F29" s="6">
        <v>54</v>
      </c>
      <c r="G29" s="6">
        <v>36</v>
      </c>
      <c r="H29" s="11">
        <v>9.6699999999999998E-3</v>
      </c>
      <c r="I29" s="12">
        <v>7.92</v>
      </c>
      <c r="J29" s="12">
        <v>7.2</v>
      </c>
      <c r="K29" s="12">
        <v>6.48</v>
      </c>
      <c r="L29" s="14">
        <v>24</v>
      </c>
      <c r="M29" s="13">
        <v>3</v>
      </c>
    </row>
    <row r="30" spans="1:13" x14ac:dyDescent="0.25">
      <c r="A30" s="4" t="s">
        <v>44</v>
      </c>
      <c r="B30" s="5" t="s">
        <v>235</v>
      </c>
      <c r="C30" s="6">
        <v>87</v>
      </c>
      <c r="D30" s="6">
        <v>6097.3</v>
      </c>
      <c r="E30" s="6">
        <v>420.5</v>
      </c>
      <c r="F30" s="6">
        <v>65.2</v>
      </c>
      <c r="G30" s="6">
        <v>43.5</v>
      </c>
      <c r="H30" s="11">
        <v>1.1610000000000001E-2</v>
      </c>
      <c r="I30" s="12">
        <v>9.57</v>
      </c>
      <c r="J30" s="12">
        <v>8.6999999999999993</v>
      </c>
      <c r="K30" s="12">
        <v>7.83</v>
      </c>
      <c r="L30" s="14">
        <v>29</v>
      </c>
      <c r="M30" s="13">
        <v>3</v>
      </c>
    </row>
    <row r="31" spans="1:13" x14ac:dyDescent="0.25">
      <c r="A31" s="4" t="s">
        <v>45</v>
      </c>
      <c r="B31" s="5" t="s">
        <v>236</v>
      </c>
      <c r="C31" s="6">
        <v>16</v>
      </c>
      <c r="D31" s="6">
        <v>21.3</v>
      </c>
      <c r="E31" s="6">
        <v>10.7</v>
      </c>
      <c r="F31" s="6">
        <v>21.3</v>
      </c>
      <c r="G31" s="6">
        <v>10.7</v>
      </c>
      <c r="H31" s="11">
        <v>2.5699999999999998E-3</v>
      </c>
      <c r="I31" s="12">
        <v>1.76</v>
      </c>
      <c r="J31" s="12">
        <v>1.6</v>
      </c>
      <c r="K31" s="12">
        <v>1.44</v>
      </c>
      <c r="L31" s="14">
        <v>4</v>
      </c>
      <c r="M31" s="13">
        <v>4</v>
      </c>
    </row>
    <row r="32" spans="1:13" x14ac:dyDescent="0.25">
      <c r="A32" s="4" t="s">
        <v>46</v>
      </c>
      <c r="B32" s="5" t="s">
        <v>237</v>
      </c>
      <c r="C32" s="6">
        <v>26</v>
      </c>
      <c r="D32" s="6">
        <v>91.5</v>
      </c>
      <c r="E32" s="6">
        <v>28.2</v>
      </c>
      <c r="F32" s="6">
        <v>34.700000000000003</v>
      </c>
      <c r="G32" s="6">
        <v>17.3</v>
      </c>
      <c r="H32" s="11">
        <v>3.8700000000000002E-3</v>
      </c>
      <c r="I32" s="12">
        <v>2.86</v>
      </c>
      <c r="J32" s="12">
        <v>2.6</v>
      </c>
      <c r="K32" s="12">
        <v>2.34</v>
      </c>
      <c r="L32" s="14">
        <v>6.5</v>
      </c>
      <c r="M32" s="13">
        <v>4</v>
      </c>
    </row>
    <row r="33" spans="1:13" x14ac:dyDescent="0.25">
      <c r="A33" s="4" t="s">
        <v>47</v>
      </c>
      <c r="B33" s="5" t="s">
        <v>238</v>
      </c>
      <c r="C33" s="6">
        <v>36</v>
      </c>
      <c r="D33" s="6">
        <v>243</v>
      </c>
      <c r="E33" s="6">
        <v>54</v>
      </c>
      <c r="F33" s="6">
        <v>48</v>
      </c>
      <c r="G33" s="6">
        <v>24</v>
      </c>
      <c r="H33" s="11">
        <v>5.1700000000000001E-3</v>
      </c>
      <c r="I33" s="12">
        <v>3.96</v>
      </c>
      <c r="J33" s="12">
        <v>3.6</v>
      </c>
      <c r="K33" s="12">
        <v>3.24</v>
      </c>
      <c r="L33" s="14">
        <v>9</v>
      </c>
      <c r="M33" s="13">
        <v>4</v>
      </c>
    </row>
    <row r="34" spans="1:13" x14ac:dyDescent="0.25">
      <c r="A34" s="4" t="s">
        <v>48</v>
      </c>
      <c r="B34" s="5" t="s">
        <v>239</v>
      </c>
      <c r="C34" s="6">
        <v>56</v>
      </c>
      <c r="D34" s="6">
        <v>914.6</v>
      </c>
      <c r="E34" s="6">
        <v>130.69999999999999</v>
      </c>
      <c r="F34" s="6">
        <v>74.7</v>
      </c>
      <c r="G34" s="6">
        <v>37.299999999999997</v>
      </c>
      <c r="H34" s="11">
        <v>7.7400000000000004E-3</v>
      </c>
      <c r="I34" s="12">
        <v>6.16</v>
      </c>
      <c r="J34" s="12">
        <v>5.6</v>
      </c>
      <c r="K34" s="12">
        <v>5.04</v>
      </c>
      <c r="L34" s="14">
        <v>14</v>
      </c>
      <c r="M34" s="13">
        <v>4</v>
      </c>
    </row>
    <row r="35" spans="1:13" x14ac:dyDescent="0.25">
      <c r="A35" s="4" t="s">
        <v>49</v>
      </c>
      <c r="B35" s="5" t="s">
        <v>240</v>
      </c>
      <c r="C35" s="6">
        <v>66</v>
      </c>
      <c r="D35" s="6">
        <v>1497.4</v>
      </c>
      <c r="E35" s="6">
        <v>181.5</v>
      </c>
      <c r="F35" s="6">
        <v>88</v>
      </c>
      <c r="G35" s="6">
        <v>49</v>
      </c>
      <c r="H35" s="11">
        <v>9.0399999999999994E-3</v>
      </c>
      <c r="I35" s="12">
        <v>7.26</v>
      </c>
      <c r="J35" s="12">
        <v>6.6</v>
      </c>
      <c r="K35" s="12">
        <v>5.94</v>
      </c>
      <c r="L35" s="14">
        <v>16.5</v>
      </c>
      <c r="M35" s="13">
        <v>4</v>
      </c>
    </row>
    <row r="36" spans="1:13" x14ac:dyDescent="0.25">
      <c r="A36" s="4" t="s">
        <v>50</v>
      </c>
      <c r="B36" s="5" t="s">
        <v>241</v>
      </c>
      <c r="C36" s="6">
        <v>76</v>
      </c>
      <c r="D36" s="6">
        <v>2286.3000000000002</v>
      </c>
      <c r="E36" s="6">
        <v>240.6</v>
      </c>
      <c r="F36" s="6">
        <v>101.3</v>
      </c>
      <c r="G36" s="6">
        <v>50.7</v>
      </c>
      <c r="H36" s="11">
        <v>1.031E-2</v>
      </c>
      <c r="I36" s="12">
        <v>8.36</v>
      </c>
      <c r="J36" s="12">
        <v>7.6</v>
      </c>
      <c r="K36" s="12">
        <v>6.84</v>
      </c>
      <c r="L36" s="14">
        <v>19</v>
      </c>
      <c r="M36" s="13">
        <v>4</v>
      </c>
    </row>
    <row r="37" spans="1:13" x14ac:dyDescent="0.25">
      <c r="A37" s="4" t="s">
        <v>51</v>
      </c>
      <c r="B37" s="5" t="s">
        <v>242</v>
      </c>
      <c r="C37" s="6">
        <v>96</v>
      </c>
      <c r="D37" s="6">
        <v>4608</v>
      </c>
      <c r="E37" s="6">
        <v>384</v>
      </c>
      <c r="F37" s="6">
        <v>128</v>
      </c>
      <c r="G37" s="6">
        <v>64</v>
      </c>
      <c r="H37" s="11">
        <v>1.291E-2</v>
      </c>
      <c r="I37" s="12">
        <v>10.56</v>
      </c>
      <c r="J37" s="12">
        <v>9.6</v>
      </c>
      <c r="K37" s="12">
        <v>8.64</v>
      </c>
      <c r="L37" s="14">
        <v>24</v>
      </c>
      <c r="M37" s="13">
        <v>4</v>
      </c>
    </row>
    <row r="38" spans="1:13" x14ac:dyDescent="0.25">
      <c r="A38" s="4" t="s">
        <v>52</v>
      </c>
      <c r="B38" s="5" t="s">
        <v>243</v>
      </c>
      <c r="C38" s="6">
        <v>116</v>
      </c>
      <c r="D38" s="6">
        <v>8129.7</v>
      </c>
      <c r="E38" s="6">
        <v>560.6</v>
      </c>
      <c r="F38" s="6">
        <v>154.69999999999999</v>
      </c>
      <c r="G38" s="6">
        <v>77.3</v>
      </c>
      <c r="H38" s="11">
        <v>1.5480000000000001E-2</v>
      </c>
      <c r="I38" s="12">
        <v>12.76</v>
      </c>
      <c r="J38" s="12">
        <v>11.6</v>
      </c>
      <c r="K38" s="12">
        <v>10.44</v>
      </c>
      <c r="L38" s="14">
        <v>29</v>
      </c>
      <c r="M38" s="13">
        <v>4</v>
      </c>
    </row>
    <row r="39" spans="1:13" ht="13.5" customHeight="1" x14ac:dyDescent="0.25">
      <c r="A39" s="4" t="s">
        <v>53</v>
      </c>
      <c r="B39" s="5" t="s">
        <v>244</v>
      </c>
      <c r="C39" s="6">
        <v>25</v>
      </c>
      <c r="D39" s="6">
        <v>52.1</v>
      </c>
      <c r="E39" s="6">
        <v>20.8</v>
      </c>
      <c r="F39" s="6">
        <v>52.1</v>
      </c>
      <c r="G39" s="6">
        <v>20.8</v>
      </c>
      <c r="H39" s="11">
        <v>4.0400000000000002E-3</v>
      </c>
      <c r="I39" s="12">
        <v>2.75</v>
      </c>
      <c r="J39" s="12">
        <v>2.5</v>
      </c>
      <c r="K39" s="12">
        <v>2.25</v>
      </c>
      <c r="L39" s="14">
        <v>5</v>
      </c>
      <c r="M39" s="13">
        <v>5</v>
      </c>
    </row>
    <row r="40" spans="1:13" x14ac:dyDescent="0.25">
      <c r="A40" s="4" t="s">
        <v>54</v>
      </c>
      <c r="B40" s="5" t="s">
        <v>245</v>
      </c>
      <c r="C40" s="6">
        <v>32.5</v>
      </c>
      <c r="D40" s="6">
        <v>114.4</v>
      </c>
      <c r="E40" s="6">
        <v>35.200000000000003</v>
      </c>
      <c r="F40" s="6">
        <v>67.7</v>
      </c>
      <c r="G40" s="6">
        <v>27.1</v>
      </c>
      <c r="H40" s="11">
        <v>4.8399999999999997E-3</v>
      </c>
      <c r="I40" s="12">
        <v>3.57</v>
      </c>
      <c r="J40" s="12">
        <v>3.25</v>
      </c>
      <c r="K40" s="12">
        <v>2.92</v>
      </c>
      <c r="L40" s="14">
        <v>6.5</v>
      </c>
      <c r="M40" s="13">
        <v>5</v>
      </c>
    </row>
    <row r="41" spans="1:13" x14ac:dyDescent="0.25">
      <c r="A41" s="4" t="s">
        <v>55</v>
      </c>
      <c r="B41" s="5" t="s">
        <v>246</v>
      </c>
      <c r="C41" s="6">
        <v>45</v>
      </c>
      <c r="D41" s="6">
        <v>303.7</v>
      </c>
      <c r="E41" s="6">
        <v>67.5</v>
      </c>
      <c r="F41" s="6">
        <v>93.7</v>
      </c>
      <c r="G41" s="6">
        <v>37.5</v>
      </c>
      <c r="H41" s="11">
        <v>6.4400000000000004E-3</v>
      </c>
      <c r="I41" s="12">
        <v>4.95</v>
      </c>
      <c r="J41" s="12">
        <v>4.5</v>
      </c>
      <c r="K41" s="12">
        <v>4.05</v>
      </c>
      <c r="L41" s="14">
        <v>9</v>
      </c>
      <c r="M41" s="13">
        <v>5</v>
      </c>
    </row>
    <row r="42" spans="1:13" x14ac:dyDescent="0.25">
      <c r="A42" s="4" t="s">
        <v>56</v>
      </c>
      <c r="B42" s="5" t="s">
        <v>247</v>
      </c>
      <c r="C42" s="6">
        <v>70</v>
      </c>
      <c r="D42" s="6">
        <v>1143.3</v>
      </c>
      <c r="E42" s="6">
        <v>163.30000000000001</v>
      </c>
      <c r="F42" s="6">
        <v>145.80000000000001</v>
      </c>
      <c r="G42" s="6">
        <v>58.3</v>
      </c>
      <c r="H42" s="11">
        <v>9.6699999999999998E-3</v>
      </c>
      <c r="I42" s="12">
        <v>7.7</v>
      </c>
      <c r="J42" s="12">
        <v>7</v>
      </c>
      <c r="K42" s="12">
        <v>6.3</v>
      </c>
      <c r="L42" s="14">
        <v>14</v>
      </c>
      <c r="M42" s="13">
        <v>5</v>
      </c>
    </row>
    <row r="43" spans="1:13" x14ac:dyDescent="0.25">
      <c r="A43" s="4" t="s">
        <v>57</v>
      </c>
      <c r="B43" s="5" t="s">
        <v>248</v>
      </c>
      <c r="C43" s="6">
        <v>82.5</v>
      </c>
      <c r="D43" s="6">
        <v>1871.7</v>
      </c>
      <c r="E43" s="6">
        <v>226.9</v>
      </c>
      <c r="F43" s="6">
        <v>171.9</v>
      </c>
      <c r="G43" s="6">
        <v>68.7</v>
      </c>
      <c r="H43" s="11">
        <v>1.128E-2</v>
      </c>
      <c r="I43" s="12">
        <v>9.07</v>
      </c>
      <c r="J43" s="12">
        <v>8.25</v>
      </c>
      <c r="K43" s="12">
        <v>7.42</v>
      </c>
      <c r="L43" s="14">
        <v>16.5</v>
      </c>
      <c r="M43" s="13">
        <v>5</v>
      </c>
    </row>
    <row r="44" spans="1:13" x14ac:dyDescent="0.25">
      <c r="A44" s="4" t="s">
        <v>58</v>
      </c>
      <c r="B44" s="5" t="s">
        <v>249</v>
      </c>
      <c r="C44" s="6">
        <v>95</v>
      </c>
      <c r="D44" s="6">
        <v>2857.9</v>
      </c>
      <c r="E44" s="6">
        <v>300.8</v>
      </c>
      <c r="F44" s="6">
        <v>197.9</v>
      </c>
      <c r="G44" s="6">
        <v>79.099999999999994</v>
      </c>
      <c r="H44" s="11">
        <v>1.291E-2</v>
      </c>
      <c r="I44" s="12">
        <v>10.45</v>
      </c>
      <c r="J44" s="12">
        <v>9.5</v>
      </c>
      <c r="K44" s="12">
        <v>8.5500000000000007</v>
      </c>
      <c r="L44" s="14">
        <v>19</v>
      </c>
      <c r="M44" s="13">
        <v>5</v>
      </c>
    </row>
    <row r="45" spans="1:13" x14ac:dyDescent="0.25">
      <c r="A45" s="4" t="s">
        <v>59</v>
      </c>
      <c r="B45" s="5" t="s">
        <v>250</v>
      </c>
      <c r="C45" s="6">
        <v>120</v>
      </c>
      <c r="D45" s="6">
        <v>5760</v>
      </c>
      <c r="E45" s="6">
        <v>480</v>
      </c>
      <c r="F45" s="6">
        <v>250</v>
      </c>
      <c r="G45" s="6">
        <v>100</v>
      </c>
      <c r="H45" s="11">
        <v>1.6119999999999999E-2</v>
      </c>
      <c r="I45" s="12">
        <v>13.2</v>
      </c>
      <c r="J45" s="12">
        <v>12</v>
      </c>
      <c r="K45" s="12">
        <v>10.8</v>
      </c>
      <c r="L45" s="14">
        <v>24</v>
      </c>
      <c r="M45" s="13">
        <v>5</v>
      </c>
    </row>
    <row r="46" spans="1:13" x14ac:dyDescent="0.25">
      <c r="A46" s="4" t="s">
        <v>60</v>
      </c>
      <c r="B46" s="5" t="s">
        <v>251</v>
      </c>
      <c r="C46" s="6">
        <v>145</v>
      </c>
      <c r="D46" s="6">
        <v>10162.1</v>
      </c>
      <c r="E46" s="6">
        <v>700.8</v>
      </c>
      <c r="F46" s="6">
        <v>302.10000000000002</v>
      </c>
      <c r="G46" s="6">
        <v>120.8</v>
      </c>
      <c r="H46" s="11">
        <v>1.9349999999999999E-2</v>
      </c>
      <c r="I46" s="12">
        <v>15.95</v>
      </c>
      <c r="J46" s="12">
        <v>14.5</v>
      </c>
      <c r="K46" s="12">
        <v>13.05</v>
      </c>
      <c r="L46" s="14">
        <v>29</v>
      </c>
      <c r="M46" s="13">
        <v>5</v>
      </c>
    </row>
    <row r="47" spans="1:13" x14ac:dyDescent="0.25">
      <c r="A47" s="4" t="s">
        <v>61</v>
      </c>
      <c r="B47" s="5" t="s">
        <v>252</v>
      </c>
      <c r="C47" s="6">
        <v>42.2</v>
      </c>
      <c r="D47" s="6">
        <v>148.69999999999999</v>
      </c>
      <c r="E47" s="6">
        <v>45.7</v>
      </c>
      <c r="F47" s="6">
        <v>148.69999999999999</v>
      </c>
      <c r="G47" s="6">
        <v>45.7</v>
      </c>
      <c r="H47" s="11">
        <v>5.7999999999999996E-3</v>
      </c>
      <c r="I47" s="12">
        <v>4.6399999999999997</v>
      </c>
      <c r="J47" s="12">
        <v>4.22</v>
      </c>
      <c r="K47" s="12">
        <v>3.8</v>
      </c>
      <c r="L47" s="14">
        <v>6.5</v>
      </c>
      <c r="M47" s="13">
        <v>6.5</v>
      </c>
    </row>
    <row r="48" spans="1:13" x14ac:dyDescent="0.25">
      <c r="A48" s="4" t="s">
        <v>62</v>
      </c>
      <c r="B48" s="5" t="s">
        <v>253</v>
      </c>
      <c r="C48" s="6">
        <v>58.5</v>
      </c>
      <c r="D48" s="6">
        <v>394.9</v>
      </c>
      <c r="E48" s="6">
        <v>87.7</v>
      </c>
      <c r="F48" s="6">
        <v>206</v>
      </c>
      <c r="G48" s="6">
        <v>63.4</v>
      </c>
      <c r="H48" s="11">
        <v>7.7400000000000004E-3</v>
      </c>
      <c r="I48" s="12">
        <v>6.43</v>
      </c>
      <c r="J48" s="12">
        <v>5.85</v>
      </c>
      <c r="K48" s="12">
        <v>5.26</v>
      </c>
      <c r="L48" s="14">
        <v>9</v>
      </c>
      <c r="M48" s="13">
        <v>6.5</v>
      </c>
    </row>
    <row r="49" spans="1:13" x14ac:dyDescent="0.25">
      <c r="A49" s="4" t="s">
        <v>63</v>
      </c>
      <c r="B49" s="5" t="s">
        <v>254</v>
      </c>
      <c r="C49" s="6">
        <v>91</v>
      </c>
      <c r="D49" s="6">
        <v>1486.3</v>
      </c>
      <c r="E49" s="6">
        <v>212.3</v>
      </c>
      <c r="F49" s="6">
        <v>320.39999999999998</v>
      </c>
      <c r="G49" s="6">
        <v>98.8</v>
      </c>
      <c r="H49" s="11">
        <v>1.1610000000000001E-2</v>
      </c>
      <c r="I49" s="12">
        <v>10.01</v>
      </c>
      <c r="J49" s="12">
        <v>9.1</v>
      </c>
      <c r="K49" s="12">
        <v>8.19</v>
      </c>
      <c r="L49" s="14">
        <v>14</v>
      </c>
      <c r="M49" s="13">
        <v>6.5</v>
      </c>
    </row>
    <row r="50" spans="1:13" x14ac:dyDescent="0.25">
      <c r="A50" s="4" t="s">
        <v>64</v>
      </c>
      <c r="B50" s="5" t="s">
        <v>255</v>
      </c>
      <c r="C50" s="6">
        <v>107.2</v>
      </c>
      <c r="D50" s="6">
        <v>2433.1999999999998</v>
      </c>
      <c r="E50" s="6">
        <v>294.89999999999998</v>
      </c>
      <c r="F50" s="6">
        <v>377.6</v>
      </c>
      <c r="G50" s="6">
        <v>116.2</v>
      </c>
      <c r="H50" s="11">
        <v>1.354E-2</v>
      </c>
      <c r="I50" s="12">
        <v>11.8</v>
      </c>
      <c r="J50" s="12">
        <v>10.72</v>
      </c>
      <c r="K50" s="12">
        <v>9.65</v>
      </c>
      <c r="L50" s="14">
        <v>16.5</v>
      </c>
      <c r="M50" s="13">
        <v>6.5</v>
      </c>
    </row>
    <row r="51" spans="1:13" x14ac:dyDescent="0.25">
      <c r="A51" s="4" t="s">
        <v>65</v>
      </c>
      <c r="B51" s="5" t="s">
        <v>256</v>
      </c>
      <c r="C51" s="6">
        <v>123.5</v>
      </c>
      <c r="D51" s="6">
        <v>3715.3</v>
      </c>
      <c r="E51" s="6">
        <v>391.1</v>
      </c>
      <c r="F51" s="6">
        <v>434.8</v>
      </c>
      <c r="G51" s="6">
        <v>133.80000000000001</v>
      </c>
      <c r="H51" s="11">
        <v>1.5480000000000001E-2</v>
      </c>
      <c r="I51" s="12">
        <v>13.58</v>
      </c>
      <c r="J51" s="12">
        <v>12.35</v>
      </c>
      <c r="K51" s="12">
        <v>11.11</v>
      </c>
      <c r="L51" s="14">
        <v>19</v>
      </c>
      <c r="M51" s="13">
        <v>6.5</v>
      </c>
    </row>
    <row r="52" spans="1:13" x14ac:dyDescent="0.25">
      <c r="A52" s="4" t="s">
        <v>66</v>
      </c>
      <c r="B52" s="5" t="s">
        <v>257</v>
      </c>
      <c r="C52" s="6">
        <v>156</v>
      </c>
      <c r="D52" s="6">
        <v>7488</v>
      </c>
      <c r="E52" s="6">
        <v>624</v>
      </c>
      <c r="F52" s="6">
        <v>549.20000000000005</v>
      </c>
      <c r="G52" s="6">
        <v>169</v>
      </c>
      <c r="H52" s="11">
        <v>1.9349999999999999E-2</v>
      </c>
      <c r="I52" s="12">
        <v>17.16</v>
      </c>
      <c r="J52" s="12">
        <v>15.6</v>
      </c>
      <c r="K52" s="12">
        <v>14.04</v>
      </c>
      <c r="L52" s="14">
        <v>24</v>
      </c>
      <c r="M52" s="13">
        <v>6.5</v>
      </c>
    </row>
    <row r="53" spans="1:13" x14ac:dyDescent="0.25">
      <c r="A53" s="4" t="s">
        <v>67</v>
      </c>
      <c r="B53" s="5" t="s">
        <v>258</v>
      </c>
      <c r="C53" s="6">
        <v>188.5</v>
      </c>
      <c r="D53" s="6">
        <v>13210.7</v>
      </c>
      <c r="E53" s="6">
        <v>911.1</v>
      </c>
      <c r="F53" s="6">
        <v>663.7</v>
      </c>
      <c r="G53" s="6">
        <v>204.2</v>
      </c>
      <c r="H53" s="11">
        <v>2.3220000000000001E-2</v>
      </c>
      <c r="I53" s="12">
        <v>20.73</v>
      </c>
      <c r="J53" s="12">
        <v>18.850000000000001</v>
      </c>
      <c r="K53" s="12">
        <v>16.96</v>
      </c>
      <c r="L53" s="14">
        <v>29</v>
      </c>
      <c r="M53" s="13">
        <v>6.5</v>
      </c>
    </row>
    <row r="54" spans="1:13" x14ac:dyDescent="0.25">
      <c r="A54" s="4" t="s">
        <v>68</v>
      </c>
      <c r="B54" s="5" t="s">
        <v>259</v>
      </c>
      <c r="C54" s="6">
        <v>81</v>
      </c>
      <c r="D54" s="6">
        <v>546.70000000000005</v>
      </c>
      <c r="E54" s="6">
        <v>121.5</v>
      </c>
      <c r="F54" s="6">
        <v>546.70000000000005</v>
      </c>
      <c r="G54" s="6">
        <v>121.5</v>
      </c>
      <c r="H54" s="11">
        <v>1.031E-2</v>
      </c>
      <c r="I54" s="12">
        <v>8.91</v>
      </c>
      <c r="J54" s="12">
        <v>8.1</v>
      </c>
      <c r="K54" s="12">
        <v>7.29</v>
      </c>
      <c r="L54" s="14">
        <v>9</v>
      </c>
      <c r="M54" s="13">
        <v>9</v>
      </c>
    </row>
    <row r="55" spans="1:13" x14ac:dyDescent="0.25">
      <c r="A55" s="4" t="s">
        <v>69</v>
      </c>
      <c r="B55" s="5" t="s">
        <v>260</v>
      </c>
      <c r="C55" s="6">
        <v>126</v>
      </c>
      <c r="D55" s="6">
        <v>2058</v>
      </c>
      <c r="E55" s="6">
        <v>294</v>
      </c>
      <c r="F55" s="6">
        <v>850.5</v>
      </c>
      <c r="G55" s="6">
        <v>189</v>
      </c>
      <c r="H55" s="11">
        <v>1.5480000000000001E-2</v>
      </c>
      <c r="I55" s="12">
        <v>13.86</v>
      </c>
      <c r="J55" s="12">
        <v>12.6</v>
      </c>
      <c r="K55" s="12">
        <v>11.34</v>
      </c>
      <c r="L55" s="14">
        <v>14</v>
      </c>
      <c r="M55" s="13">
        <v>9</v>
      </c>
    </row>
    <row r="56" spans="1:13" x14ac:dyDescent="0.25">
      <c r="A56" s="4" t="s">
        <v>70</v>
      </c>
      <c r="B56" s="5" t="s">
        <v>261</v>
      </c>
      <c r="C56" s="6">
        <v>148.5</v>
      </c>
      <c r="D56" s="6">
        <v>3361.1</v>
      </c>
      <c r="E56" s="6">
        <v>408.3</v>
      </c>
      <c r="F56" s="6">
        <v>1002.4</v>
      </c>
      <c r="G56" s="6">
        <v>222.7</v>
      </c>
      <c r="H56" s="11">
        <v>1.8079999999999999E-2</v>
      </c>
      <c r="I56" s="12">
        <v>16.329999999999998</v>
      </c>
      <c r="J56" s="12">
        <v>14.81</v>
      </c>
      <c r="K56" s="12">
        <v>13.34</v>
      </c>
      <c r="L56" s="14">
        <v>16.5</v>
      </c>
      <c r="M56" s="13">
        <v>9</v>
      </c>
    </row>
    <row r="57" spans="1:13" x14ac:dyDescent="0.25">
      <c r="A57" s="4" t="s">
        <v>71</v>
      </c>
      <c r="B57" s="5" t="s">
        <v>262</v>
      </c>
      <c r="C57" s="6">
        <v>171</v>
      </c>
      <c r="D57" s="6">
        <v>5144.2</v>
      </c>
      <c r="E57" s="6">
        <v>541.5</v>
      </c>
      <c r="F57" s="6">
        <v>1154.2</v>
      </c>
      <c r="G57" s="6">
        <v>256.5</v>
      </c>
      <c r="H57" s="11">
        <v>2.0650000000000002E-2</v>
      </c>
      <c r="I57" s="12">
        <v>18.809999999999999</v>
      </c>
      <c r="J57" s="12">
        <v>17.100000000000001</v>
      </c>
      <c r="K57" s="12">
        <v>15.39</v>
      </c>
      <c r="L57" s="14">
        <v>19</v>
      </c>
      <c r="M57" s="13">
        <v>9</v>
      </c>
    </row>
    <row r="58" spans="1:13" x14ac:dyDescent="0.25">
      <c r="A58" s="4" t="s">
        <v>72</v>
      </c>
      <c r="B58" s="5" t="s">
        <v>263</v>
      </c>
      <c r="C58" s="6">
        <v>216</v>
      </c>
      <c r="D58" s="6">
        <v>10368</v>
      </c>
      <c r="E58" s="6">
        <v>864</v>
      </c>
      <c r="F58" s="6">
        <v>1458</v>
      </c>
      <c r="G58" s="6">
        <v>324</v>
      </c>
      <c r="H58" s="11">
        <v>2.579E-2</v>
      </c>
      <c r="I58" s="12">
        <v>23.76</v>
      </c>
      <c r="J58" s="12">
        <v>21.6</v>
      </c>
      <c r="K58" s="12">
        <v>19.440000000000001</v>
      </c>
      <c r="L58" s="14">
        <v>24</v>
      </c>
      <c r="M58" s="13">
        <v>9</v>
      </c>
    </row>
    <row r="59" spans="1:13" x14ac:dyDescent="0.25">
      <c r="A59" s="4" t="s">
        <v>73</v>
      </c>
      <c r="B59" s="5" t="s">
        <v>264</v>
      </c>
      <c r="C59" s="6">
        <v>261</v>
      </c>
      <c r="D59" s="6">
        <v>18291.8</v>
      </c>
      <c r="E59" s="6">
        <v>261</v>
      </c>
      <c r="F59" s="6">
        <v>1761.7</v>
      </c>
      <c r="G59" s="6">
        <v>391.5</v>
      </c>
      <c r="H59" s="11">
        <v>3.0960000000000001E-2</v>
      </c>
      <c r="I59" s="12">
        <v>28.71</v>
      </c>
      <c r="J59" s="12">
        <v>26.1</v>
      </c>
      <c r="K59" s="12">
        <v>23.49</v>
      </c>
      <c r="L59" s="14">
        <v>29</v>
      </c>
      <c r="M59" s="13">
        <v>9</v>
      </c>
    </row>
    <row r="60" spans="1:13" x14ac:dyDescent="0.25">
      <c r="A60" s="4" t="s">
        <v>74</v>
      </c>
      <c r="B60" s="5" t="s">
        <v>265</v>
      </c>
      <c r="C60" s="6">
        <v>196</v>
      </c>
      <c r="D60" s="6">
        <v>3201.3</v>
      </c>
      <c r="E60" s="6">
        <v>547.29999999999995</v>
      </c>
      <c r="F60" s="6">
        <v>3201.3</v>
      </c>
      <c r="G60" s="6">
        <v>457.3</v>
      </c>
      <c r="H60" s="11">
        <v>2.3220000000000001E-2</v>
      </c>
      <c r="I60" s="12">
        <v>21.56</v>
      </c>
      <c r="J60" s="12">
        <v>19.600000000000001</v>
      </c>
      <c r="K60" s="12">
        <v>17.64</v>
      </c>
      <c r="L60" s="14">
        <v>14</v>
      </c>
      <c r="M60" s="13">
        <v>14</v>
      </c>
    </row>
    <row r="61" spans="1:13" x14ac:dyDescent="0.25">
      <c r="A61" s="4" t="s">
        <v>75</v>
      </c>
      <c r="B61" s="5" t="s">
        <v>266</v>
      </c>
      <c r="C61" s="6">
        <v>231</v>
      </c>
      <c r="D61" s="6">
        <v>5240.8</v>
      </c>
      <c r="E61" s="6">
        <v>635.20000000000005</v>
      </c>
      <c r="F61" s="6">
        <v>3773</v>
      </c>
      <c r="G61" s="6">
        <v>539</v>
      </c>
      <c r="H61" s="11">
        <v>2.7089999999999999E-2</v>
      </c>
      <c r="I61" s="12">
        <v>25.41</v>
      </c>
      <c r="J61" s="12">
        <v>23.1</v>
      </c>
      <c r="K61" s="12">
        <v>20.79</v>
      </c>
      <c r="L61" s="14">
        <v>16.5</v>
      </c>
      <c r="M61" s="13">
        <v>14</v>
      </c>
    </row>
    <row r="62" spans="1:13" x14ac:dyDescent="0.25">
      <c r="A62" s="4" t="s">
        <v>76</v>
      </c>
      <c r="B62" s="5" t="s">
        <v>267</v>
      </c>
      <c r="C62" s="6">
        <v>266</v>
      </c>
      <c r="D62" s="6">
        <v>8002.2</v>
      </c>
      <c r="E62" s="6">
        <v>842.3</v>
      </c>
      <c r="F62" s="6">
        <v>4344.7</v>
      </c>
      <c r="G62" s="6">
        <v>620.6</v>
      </c>
      <c r="H62" s="11">
        <v>3.0960000000000001E-2</v>
      </c>
      <c r="I62" s="12">
        <v>29.26</v>
      </c>
      <c r="J62" s="12">
        <v>26.6</v>
      </c>
      <c r="K62" s="12">
        <v>23.94</v>
      </c>
      <c r="L62" s="14">
        <v>19</v>
      </c>
      <c r="M62" s="13">
        <v>14</v>
      </c>
    </row>
    <row r="63" spans="1:13" x14ac:dyDescent="0.25">
      <c r="A63" s="4" t="s">
        <v>77</v>
      </c>
      <c r="B63" s="5" t="s">
        <v>268</v>
      </c>
      <c r="C63" s="6">
        <v>336</v>
      </c>
      <c r="D63" s="6">
        <v>16128</v>
      </c>
      <c r="E63" s="6">
        <v>1344</v>
      </c>
      <c r="F63" s="6">
        <v>5488</v>
      </c>
      <c r="G63" s="6">
        <v>784</v>
      </c>
      <c r="H63" s="11">
        <v>3.8699999999999998E-2</v>
      </c>
      <c r="I63" s="12">
        <v>36.96</v>
      </c>
      <c r="J63" s="12">
        <v>33.6</v>
      </c>
      <c r="K63" s="12">
        <v>30.24</v>
      </c>
      <c r="L63" s="14">
        <v>24</v>
      </c>
      <c r="M63" s="13">
        <v>14</v>
      </c>
    </row>
    <row r="64" spans="1:13" x14ac:dyDescent="0.25">
      <c r="A64" s="4" t="s">
        <v>78</v>
      </c>
      <c r="B64" s="5" t="s">
        <v>269</v>
      </c>
      <c r="C64" s="6">
        <v>406</v>
      </c>
      <c r="D64" s="6">
        <v>28453.8</v>
      </c>
      <c r="E64" s="6">
        <v>1962.3</v>
      </c>
      <c r="F64" s="6">
        <v>6631.3</v>
      </c>
      <c r="G64" s="6">
        <v>947.3</v>
      </c>
      <c r="H64" s="11">
        <v>4.6460000000000001E-2</v>
      </c>
      <c r="I64" s="12">
        <v>44.66</v>
      </c>
      <c r="J64" s="12">
        <v>40.6</v>
      </c>
      <c r="K64" s="12">
        <v>36.54</v>
      </c>
      <c r="L64" s="14">
        <v>29</v>
      </c>
      <c r="M64" s="13">
        <v>14</v>
      </c>
    </row>
    <row r="65" spans="1:13" x14ac:dyDescent="0.25">
      <c r="A65" s="4" t="s">
        <v>79</v>
      </c>
      <c r="B65" s="5" t="s">
        <v>270</v>
      </c>
      <c r="C65" s="6">
        <v>361</v>
      </c>
      <c r="D65" s="6">
        <v>10860.1</v>
      </c>
      <c r="E65" s="6">
        <v>1143.2</v>
      </c>
      <c r="F65" s="6">
        <v>10860.1</v>
      </c>
      <c r="G65" s="6">
        <v>1143.2</v>
      </c>
      <c r="H65" s="11">
        <v>3.705E-2</v>
      </c>
      <c r="I65" s="12">
        <v>39.71</v>
      </c>
      <c r="J65" s="12">
        <v>36.1</v>
      </c>
      <c r="K65" s="12">
        <v>32.49</v>
      </c>
      <c r="L65" s="14">
        <v>19</v>
      </c>
      <c r="M65" s="13">
        <v>19</v>
      </c>
    </row>
    <row r="66" spans="1:13" x14ac:dyDescent="0.25">
      <c r="A66" s="4" t="s">
        <v>80</v>
      </c>
      <c r="B66" s="5" t="s">
        <v>271</v>
      </c>
      <c r="C66" s="6">
        <v>456</v>
      </c>
      <c r="D66" s="6">
        <v>21888</v>
      </c>
      <c r="E66" s="6">
        <v>1924</v>
      </c>
      <c r="F66" s="6">
        <v>13718</v>
      </c>
      <c r="G66" s="6">
        <v>1444</v>
      </c>
      <c r="H66" s="11">
        <v>5.1610000000000003E-2</v>
      </c>
      <c r="I66" s="12">
        <v>50.16</v>
      </c>
      <c r="J66" s="12">
        <v>45.6</v>
      </c>
      <c r="K66" s="12">
        <v>41.04</v>
      </c>
      <c r="L66" s="14">
        <v>24</v>
      </c>
      <c r="M66" s="13">
        <v>19</v>
      </c>
    </row>
    <row r="67" spans="1:13" x14ac:dyDescent="0.25">
      <c r="A67" s="4" t="s">
        <v>81</v>
      </c>
      <c r="B67" s="5" t="s">
        <v>272</v>
      </c>
      <c r="C67" s="6">
        <v>551</v>
      </c>
      <c r="D67" s="6">
        <v>38615.9</v>
      </c>
      <c r="E67" s="6">
        <v>2663.2</v>
      </c>
      <c r="F67" s="6">
        <v>16575.900000000001</v>
      </c>
      <c r="G67" s="6">
        <v>1744.8</v>
      </c>
      <c r="H67" s="11">
        <v>6.1940000000000002E-2</v>
      </c>
      <c r="I67" s="12">
        <v>60.61</v>
      </c>
      <c r="J67" s="12">
        <v>55.1</v>
      </c>
      <c r="K67" s="12">
        <v>49.59</v>
      </c>
      <c r="L67" s="14">
        <v>29</v>
      </c>
      <c r="M67" s="13">
        <v>19</v>
      </c>
    </row>
    <row r="68" spans="1:13" x14ac:dyDescent="0.25">
      <c r="A68" s="4" t="s">
        <v>82</v>
      </c>
      <c r="B68" s="5" t="s">
        <v>273</v>
      </c>
      <c r="C68" s="6">
        <v>576</v>
      </c>
      <c r="D68" s="6">
        <v>27648</v>
      </c>
      <c r="E68" s="6">
        <v>2304</v>
      </c>
      <c r="F68" s="6">
        <v>27648</v>
      </c>
      <c r="G68" s="6">
        <v>2304</v>
      </c>
      <c r="H68" s="11">
        <v>6.4280000000000004E-2</v>
      </c>
      <c r="I68" s="12">
        <v>63.36</v>
      </c>
      <c r="J68" s="12">
        <v>57.6</v>
      </c>
      <c r="K68" s="12">
        <v>51.84</v>
      </c>
      <c r="L68" s="14">
        <v>24</v>
      </c>
      <c r="M68" s="13">
        <v>24</v>
      </c>
    </row>
    <row r="69" spans="1:13" x14ac:dyDescent="0.25">
      <c r="A69" s="4" t="s">
        <v>83</v>
      </c>
      <c r="B69" s="5" t="s">
        <v>274</v>
      </c>
      <c r="C69" s="6">
        <v>696</v>
      </c>
      <c r="D69" s="6">
        <v>48778</v>
      </c>
      <c r="E69" s="6">
        <v>3364</v>
      </c>
      <c r="F69" s="6">
        <v>33408</v>
      </c>
      <c r="G69" s="6">
        <v>2784</v>
      </c>
      <c r="H69" s="11">
        <v>7.7420000000000003E-2</v>
      </c>
      <c r="I69" s="12">
        <v>76.56</v>
      </c>
      <c r="J69" s="12">
        <v>69.599999999999994</v>
      </c>
      <c r="K69" s="12">
        <v>62.64</v>
      </c>
      <c r="L69" s="14">
        <v>29</v>
      </c>
      <c r="M69" s="13">
        <v>24</v>
      </c>
    </row>
    <row r="70" spans="1:13" x14ac:dyDescent="0.25">
      <c r="A70" s="4" t="s">
        <v>84</v>
      </c>
      <c r="B70" s="5" t="s">
        <v>275</v>
      </c>
      <c r="C70" s="6">
        <v>841</v>
      </c>
      <c r="D70" s="6">
        <v>58940.1</v>
      </c>
      <c r="E70" s="6">
        <v>4064.8</v>
      </c>
      <c r="F70" s="6">
        <v>58940.1</v>
      </c>
      <c r="G70" s="6">
        <v>4064.8</v>
      </c>
      <c r="H70" s="11">
        <v>9.2880000000000004E-2</v>
      </c>
      <c r="I70" s="12">
        <v>92.51</v>
      </c>
      <c r="J70" s="12">
        <v>84.1</v>
      </c>
      <c r="K70" s="12">
        <v>75.89</v>
      </c>
      <c r="L70" s="14">
        <v>29</v>
      </c>
      <c r="M70" s="13">
        <v>29</v>
      </c>
    </row>
    <row r="72" spans="1:13" ht="25.5" customHeight="1" x14ac:dyDescent="0.25"/>
    <row r="92" spans="1:13" ht="25.5" customHeight="1" x14ac:dyDescent="0.25">
      <c r="A92" s="119" t="s">
        <v>167</v>
      </c>
      <c r="B92" s="119"/>
      <c r="C92" s="119"/>
      <c r="D92" s="119"/>
      <c r="E92" s="119"/>
      <c r="F92" s="119"/>
      <c r="G92" s="119"/>
      <c r="H92" s="119"/>
      <c r="I92" s="119"/>
      <c r="J92" s="119"/>
      <c r="K92" s="26"/>
      <c r="L92" s="26"/>
      <c r="M92" s="26"/>
    </row>
    <row r="93" spans="1:13" ht="15.75" x14ac:dyDescent="0.25">
      <c r="E93" s="120" t="s">
        <v>173</v>
      </c>
      <c r="F93" s="120"/>
    </row>
    <row r="94" spans="1:13" x14ac:dyDescent="0.25">
      <c r="A94" s="121" t="s">
        <v>3</v>
      </c>
      <c r="B94" s="121"/>
      <c r="C94" s="122" t="s">
        <v>168</v>
      </c>
      <c r="D94" s="124" t="s">
        <v>169</v>
      </c>
      <c r="E94" s="124"/>
      <c r="F94" s="124"/>
      <c r="G94" s="124"/>
      <c r="H94" s="124"/>
      <c r="I94" s="124"/>
      <c r="J94" s="124"/>
    </row>
    <row r="95" spans="1:13" x14ac:dyDescent="0.25">
      <c r="A95" s="125" t="s">
        <v>23</v>
      </c>
      <c r="B95" s="122" t="s">
        <v>92</v>
      </c>
      <c r="C95" s="123"/>
      <c r="D95" s="124"/>
      <c r="E95" s="124"/>
      <c r="F95" s="124"/>
      <c r="G95" s="124"/>
      <c r="H95" s="124"/>
      <c r="I95" s="124"/>
      <c r="J95" s="124"/>
    </row>
    <row r="96" spans="1:13" x14ac:dyDescent="0.25">
      <c r="A96" s="125"/>
      <c r="B96" s="122"/>
      <c r="C96" s="123"/>
      <c r="D96" s="123">
        <v>30</v>
      </c>
      <c r="E96" s="123">
        <v>40</v>
      </c>
      <c r="F96" s="123">
        <v>50</v>
      </c>
      <c r="G96" s="123">
        <v>60</v>
      </c>
      <c r="H96" s="123">
        <v>80</v>
      </c>
      <c r="I96" s="123">
        <v>100</v>
      </c>
      <c r="J96" s="123">
        <v>120</v>
      </c>
    </row>
    <row r="97" spans="1:11" x14ac:dyDescent="0.25">
      <c r="A97" s="125"/>
      <c r="B97" s="122"/>
      <c r="C97" s="123"/>
      <c r="D97" s="123"/>
      <c r="E97" s="123"/>
      <c r="F97" s="123"/>
      <c r="G97" s="123"/>
      <c r="H97" s="123"/>
      <c r="I97" s="123"/>
      <c r="J97" s="123"/>
    </row>
    <row r="98" spans="1:11" x14ac:dyDescent="0.25">
      <c r="A98" s="149" t="s">
        <v>171</v>
      </c>
      <c r="B98" s="149" t="s">
        <v>170</v>
      </c>
      <c r="C98" s="27" t="s">
        <v>13</v>
      </c>
      <c r="D98" s="30">
        <v>9.5</v>
      </c>
      <c r="E98" s="30">
        <v>7.2</v>
      </c>
      <c r="F98" s="30">
        <v>5.7</v>
      </c>
      <c r="G98" s="30">
        <v>4.8</v>
      </c>
      <c r="H98" s="30">
        <v>3.6</v>
      </c>
      <c r="I98" s="30">
        <v>2.9</v>
      </c>
      <c r="J98" s="30">
        <v>2.4</v>
      </c>
      <c r="K98" s="4" t="s">
        <v>46</v>
      </c>
    </row>
    <row r="99" spans="1:11" x14ac:dyDescent="0.25">
      <c r="A99" s="150"/>
      <c r="B99" s="150"/>
      <c r="C99" s="27" t="s">
        <v>14</v>
      </c>
      <c r="D99" s="30">
        <v>8.6999999999999993</v>
      </c>
      <c r="E99" s="30">
        <v>6.5</v>
      </c>
      <c r="F99" s="30">
        <v>5.2</v>
      </c>
      <c r="G99" s="30">
        <v>4.3</v>
      </c>
      <c r="H99" s="30">
        <v>3.3</v>
      </c>
      <c r="I99" s="30">
        <v>2.6</v>
      </c>
      <c r="J99" s="30">
        <v>2.2000000000000002</v>
      </c>
      <c r="K99" s="4" t="s">
        <v>47</v>
      </c>
    </row>
    <row r="100" spans="1:11" x14ac:dyDescent="0.25">
      <c r="A100" s="151"/>
      <c r="B100" s="151"/>
      <c r="C100" s="29" t="s">
        <v>15</v>
      </c>
      <c r="D100" s="31">
        <v>7.8</v>
      </c>
      <c r="E100" s="31">
        <v>5.9</v>
      </c>
      <c r="F100" s="31">
        <v>4.7</v>
      </c>
      <c r="G100" s="31">
        <v>3.9</v>
      </c>
      <c r="H100" s="31">
        <v>2.9</v>
      </c>
      <c r="I100" s="31">
        <v>2.2999999999999998</v>
      </c>
      <c r="J100" s="31">
        <v>2</v>
      </c>
      <c r="K100" s="4" t="s">
        <v>48</v>
      </c>
    </row>
    <row r="101" spans="1:11" x14ac:dyDescent="0.25">
      <c r="A101" s="149" t="s">
        <v>47</v>
      </c>
      <c r="B101" s="149" t="s">
        <v>30</v>
      </c>
      <c r="C101" s="28" t="s">
        <v>13</v>
      </c>
      <c r="D101" s="30">
        <v>13.2</v>
      </c>
      <c r="E101" s="30">
        <v>9.9</v>
      </c>
      <c r="F101" s="30">
        <v>7.9</v>
      </c>
      <c r="G101" s="30">
        <v>6.6</v>
      </c>
      <c r="H101" s="30">
        <v>5</v>
      </c>
      <c r="I101" s="30">
        <v>4</v>
      </c>
      <c r="J101" s="30">
        <v>3.3</v>
      </c>
      <c r="K101" s="4" t="s">
        <v>49</v>
      </c>
    </row>
    <row r="102" spans="1:11" x14ac:dyDescent="0.25">
      <c r="A102" s="150"/>
      <c r="B102" s="150"/>
      <c r="C102" s="27" t="s">
        <v>14</v>
      </c>
      <c r="D102" s="30">
        <v>12</v>
      </c>
      <c r="E102" s="30">
        <v>9</v>
      </c>
      <c r="F102" s="30">
        <v>7.2</v>
      </c>
      <c r="G102" s="30">
        <v>6</v>
      </c>
      <c r="H102" s="30">
        <v>4.5</v>
      </c>
      <c r="I102" s="30">
        <v>3.6</v>
      </c>
      <c r="J102" s="30">
        <v>3</v>
      </c>
      <c r="K102" s="4" t="s">
        <v>50</v>
      </c>
    </row>
    <row r="103" spans="1:11" x14ac:dyDescent="0.25">
      <c r="A103" s="151"/>
      <c r="B103" s="151"/>
      <c r="C103" s="29" t="s">
        <v>15</v>
      </c>
      <c r="D103" s="31">
        <v>10.8</v>
      </c>
      <c r="E103" s="31">
        <v>8.1</v>
      </c>
      <c r="F103" s="31">
        <v>6.5</v>
      </c>
      <c r="G103" s="31">
        <v>5.4</v>
      </c>
      <c r="H103" s="31">
        <v>4.0999999999999996</v>
      </c>
      <c r="I103" s="31">
        <v>3.2</v>
      </c>
      <c r="J103" s="31">
        <v>2.7</v>
      </c>
      <c r="K103" s="4" t="s">
        <v>51</v>
      </c>
    </row>
    <row r="104" spans="1:11" x14ac:dyDescent="0.25">
      <c r="A104" s="149" t="s">
        <v>48</v>
      </c>
      <c r="B104" s="149" t="s">
        <v>85</v>
      </c>
      <c r="C104" s="28" t="s">
        <v>13</v>
      </c>
      <c r="D104" s="30">
        <v>20.5</v>
      </c>
      <c r="E104" s="30">
        <v>15.4</v>
      </c>
      <c r="F104" s="30">
        <v>12.3</v>
      </c>
      <c r="G104" s="30">
        <v>10.3</v>
      </c>
      <c r="H104" s="30">
        <v>7.7</v>
      </c>
      <c r="I104" s="30">
        <v>6.2</v>
      </c>
      <c r="J104" s="30">
        <v>5.0999999999999996</v>
      </c>
      <c r="K104" s="4" t="s">
        <v>65</v>
      </c>
    </row>
    <row r="105" spans="1:11" x14ac:dyDescent="0.25">
      <c r="A105" s="150"/>
      <c r="B105" s="150"/>
      <c r="C105" s="27" t="s">
        <v>14</v>
      </c>
      <c r="D105" s="30">
        <v>18.7</v>
      </c>
      <c r="E105" s="30">
        <v>14</v>
      </c>
      <c r="F105" s="30">
        <v>11.2</v>
      </c>
      <c r="G105" s="30">
        <v>9.3000000000000007</v>
      </c>
      <c r="H105" s="30">
        <v>7</v>
      </c>
      <c r="I105" s="30">
        <v>5.6</v>
      </c>
      <c r="J105" s="30">
        <v>4.7</v>
      </c>
      <c r="K105" s="4" t="s">
        <v>66</v>
      </c>
    </row>
    <row r="106" spans="1:11" x14ac:dyDescent="0.25">
      <c r="A106" s="151"/>
      <c r="B106" s="151"/>
      <c r="C106" s="29" t="s">
        <v>15</v>
      </c>
      <c r="D106" s="31">
        <v>16.8</v>
      </c>
      <c r="E106" s="31">
        <v>12.6</v>
      </c>
      <c r="F106" s="31">
        <v>10.1</v>
      </c>
      <c r="G106" s="31">
        <v>8.4</v>
      </c>
      <c r="H106" s="31">
        <v>6.3</v>
      </c>
      <c r="I106" s="31">
        <v>5</v>
      </c>
      <c r="J106" s="31">
        <v>4.2</v>
      </c>
      <c r="K106" s="4" t="s">
        <v>67</v>
      </c>
    </row>
    <row r="107" spans="1:11" x14ac:dyDescent="0.25">
      <c r="A107" s="149" t="s">
        <v>49</v>
      </c>
      <c r="B107" s="149" t="s">
        <v>88</v>
      </c>
      <c r="C107" s="28" t="s">
        <v>13</v>
      </c>
      <c r="D107" s="30">
        <v>24.2</v>
      </c>
      <c r="E107" s="30">
        <v>18.2</v>
      </c>
      <c r="F107" s="30">
        <v>14.5</v>
      </c>
      <c r="G107" s="30">
        <v>12.1</v>
      </c>
      <c r="H107" s="30">
        <v>9.1</v>
      </c>
      <c r="I107" s="30">
        <v>7.3</v>
      </c>
      <c r="J107" s="30">
        <v>6.1</v>
      </c>
    </row>
    <row r="108" spans="1:11" x14ac:dyDescent="0.25">
      <c r="A108" s="150"/>
      <c r="B108" s="150"/>
      <c r="C108" s="27" t="s">
        <v>14</v>
      </c>
      <c r="D108" s="30">
        <v>22</v>
      </c>
      <c r="E108" s="30">
        <v>16.5</v>
      </c>
      <c r="F108" s="30">
        <v>13.2</v>
      </c>
      <c r="G108" s="30">
        <v>11</v>
      </c>
      <c r="H108" s="30">
        <v>8.3000000000000007</v>
      </c>
      <c r="I108" s="30">
        <v>6.6</v>
      </c>
      <c r="J108" s="30">
        <v>5.5</v>
      </c>
    </row>
    <row r="109" spans="1:11" x14ac:dyDescent="0.25">
      <c r="A109" s="151"/>
      <c r="B109" s="151"/>
      <c r="C109" s="29" t="s">
        <v>15</v>
      </c>
      <c r="D109" s="31">
        <v>19.8</v>
      </c>
      <c r="E109" s="31">
        <v>14.9</v>
      </c>
      <c r="F109" s="31">
        <v>11.9</v>
      </c>
      <c r="G109" s="31">
        <v>9.9</v>
      </c>
      <c r="H109" s="31">
        <v>7.4</v>
      </c>
      <c r="I109" s="31">
        <v>5.9</v>
      </c>
      <c r="J109" s="31">
        <v>5</v>
      </c>
    </row>
    <row r="110" spans="1:11" x14ac:dyDescent="0.25">
      <c r="A110" s="149" t="s">
        <v>50</v>
      </c>
      <c r="B110" s="149" t="s">
        <v>86</v>
      </c>
      <c r="C110" s="28" t="s">
        <v>13</v>
      </c>
      <c r="D110" s="30">
        <v>27.9</v>
      </c>
      <c r="E110" s="30">
        <v>20.9</v>
      </c>
      <c r="F110" s="30">
        <v>16.7</v>
      </c>
      <c r="G110" s="30">
        <v>13.9</v>
      </c>
      <c r="H110" s="30">
        <v>10.5</v>
      </c>
      <c r="I110" s="30">
        <v>8.4</v>
      </c>
      <c r="J110" s="30">
        <v>7</v>
      </c>
    </row>
    <row r="111" spans="1:11" x14ac:dyDescent="0.25">
      <c r="A111" s="150"/>
      <c r="B111" s="150"/>
      <c r="C111" s="27" t="s">
        <v>14</v>
      </c>
      <c r="D111" s="30">
        <v>25.3</v>
      </c>
      <c r="E111" s="30">
        <v>19</v>
      </c>
      <c r="F111" s="30">
        <v>15.2</v>
      </c>
      <c r="G111" s="30">
        <v>12.7</v>
      </c>
      <c r="H111" s="30">
        <v>9.5</v>
      </c>
      <c r="I111" s="30">
        <v>7.6</v>
      </c>
      <c r="J111" s="30">
        <v>6.3</v>
      </c>
    </row>
    <row r="112" spans="1:11" x14ac:dyDescent="0.25">
      <c r="A112" s="151"/>
      <c r="B112" s="151"/>
      <c r="C112" s="29" t="s">
        <v>15</v>
      </c>
      <c r="D112" s="31">
        <v>22.8</v>
      </c>
      <c r="E112" s="31">
        <v>17.100000000000001</v>
      </c>
      <c r="F112" s="31">
        <v>13.7</v>
      </c>
      <c r="G112" s="31">
        <v>11.4</v>
      </c>
      <c r="H112" s="31">
        <v>8.6</v>
      </c>
      <c r="I112" s="31">
        <v>6.8</v>
      </c>
      <c r="J112" s="31">
        <v>5.7</v>
      </c>
    </row>
    <row r="113" spans="1:10" x14ac:dyDescent="0.25">
      <c r="A113" s="149" t="s">
        <v>51</v>
      </c>
      <c r="B113" s="149" t="s">
        <v>87</v>
      </c>
      <c r="C113" s="28" t="s">
        <v>13</v>
      </c>
      <c r="D113" s="30">
        <v>35.200000000000003</v>
      </c>
      <c r="E113" s="30">
        <v>26.4</v>
      </c>
      <c r="F113" s="30">
        <v>21.1</v>
      </c>
      <c r="G113" s="30">
        <v>17.600000000000001</v>
      </c>
      <c r="H113" s="30">
        <v>13.2</v>
      </c>
      <c r="I113" s="30">
        <v>10.6</v>
      </c>
      <c r="J113" s="30">
        <v>8.8000000000000007</v>
      </c>
    </row>
    <row r="114" spans="1:10" x14ac:dyDescent="0.25">
      <c r="A114" s="150"/>
      <c r="B114" s="150"/>
      <c r="C114" s="27" t="s">
        <v>14</v>
      </c>
      <c r="D114" s="30">
        <v>32</v>
      </c>
      <c r="E114" s="30">
        <v>24</v>
      </c>
      <c r="F114" s="30">
        <v>19.2</v>
      </c>
      <c r="G114" s="30">
        <v>16</v>
      </c>
      <c r="H114" s="30">
        <v>12</v>
      </c>
      <c r="I114" s="30">
        <v>9.6</v>
      </c>
      <c r="J114" s="30">
        <v>8</v>
      </c>
    </row>
    <row r="115" spans="1:10" x14ac:dyDescent="0.25">
      <c r="A115" s="151"/>
      <c r="B115" s="151"/>
      <c r="C115" s="29" t="s">
        <v>15</v>
      </c>
      <c r="D115" s="31">
        <v>28.8</v>
      </c>
      <c r="E115" s="31">
        <v>21.6</v>
      </c>
      <c r="F115" s="31">
        <v>17.3</v>
      </c>
      <c r="G115" s="31">
        <v>14.4</v>
      </c>
      <c r="H115" s="31">
        <v>10.8</v>
      </c>
      <c r="I115" s="31">
        <v>8.6</v>
      </c>
      <c r="J115" s="31">
        <v>7.2</v>
      </c>
    </row>
    <row r="116" spans="1:10" x14ac:dyDescent="0.25">
      <c r="A116" s="149" t="s">
        <v>65</v>
      </c>
      <c r="B116" s="149" t="s">
        <v>89</v>
      </c>
      <c r="C116" s="28" t="s">
        <v>13</v>
      </c>
      <c r="D116" s="30">
        <v>45.3</v>
      </c>
      <c r="E116" s="30">
        <v>34</v>
      </c>
      <c r="F116" s="30">
        <v>27.2</v>
      </c>
      <c r="G116" s="30">
        <v>22.6</v>
      </c>
      <c r="H116" s="30">
        <v>17</v>
      </c>
      <c r="I116" s="30">
        <v>13.6</v>
      </c>
      <c r="J116" s="30">
        <v>11.3</v>
      </c>
    </row>
    <row r="117" spans="1:10" x14ac:dyDescent="0.25">
      <c r="A117" s="150"/>
      <c r="B117" s="150"/>
      <c r="C117" s="27" t="s">
        <v>14</v>
      </c>
      <c r="D117" s="30">
        <v>41.2</v>
      </c>
      <c r="E117" s="30">
        <v>30.9</v>
      </c>
      <c r="F117" s="30">
        <v>24.7</v>
      </c>
      <c r="G117" s="30">
        <v>20.6</v>
      </c>
      <c r="H117" s="30">
        <v>15.4</v>
      </c>
      <c r="I117" s="30">
        <v>12.4</v>
      </c>
      <c r="J117" s="30">
        <v>10.3</v>
      </c>
    </row>
    <row r="118" spans="1:10" x14ac:dyDescent="0.25">
      <c r="A118" s="151"/>
      <c r="B118" s="151"/>
      <c r="C118" s="29" t="s">
        <v>15</v>
      </c>
      <c r="D118" s="31">
        <v>37</v>
      </c>
      <c r="E118" s="31">
        <v>27.8</v>
      </c>
      <c r="F118" s="31">
        <v>22.2</v>
      </c>
      <c r="G118" s="31">
        <v>18.5</v>
      </c>
      <c r="H118" s="31">
        <v>13.9</v>
      </c>
      <c r="I118" s="31">
        <v>11.1</v>
      </c>
      <c r="J118" s="31">
        <v>9.3000000000000007</v>
      </c>
    </row>
    <row r="119" spans="1:10" x14ac:dyDescent="0.25">
      <c r="A119" s="149" t="s">
        <v>66</v>
      </c>
      <c r="B119" s="149" t="s">
        <v>90</v>
      </c>
      <c r="C119" s="28" t="s">
        <v>13</v>
      </c>
      <c r="D119" s="30">
        <v>57.2</v>
      </c>
      <c r="E119" s="30">
        <v>42.9</v>
      </c>
      <c r="F119" s="30">
        <v>34.299999999999997</v>
      </c>
      <c r="G119" s="30">
        <v>28.6</v>
      </c>
      <c r="H119" s="30">
        <v>21.5</v>
      </c>
      <c r="I119" s="30">
        <v>17.2</v>
      </c>
      <c r="J119" s="30">
        <v>14.3</v>
      </c>
    </row>
    <row r="120" spans="1:10" x14ac:dyDescent="0.25">
      <c r="A120" s="150"/>
      <c r="B120" s="150"/>
      <c r="C120" s="27" t="s">
        <v>14</v>
      </c>
      <c r="D120" s="30">
        <v>52</v>
      </c>
      <c r="E120" s="30">
        <v>39</v>
      </c>
      <c r="F120" s="30">
        <v>31.2</v>
      </c>
      <c r="G120" s="30">
        <v>26</v>
      </c>
      <c r="H120" s="30">
        <v>19.5</v>
      </c>
      <c r="I120" s="30">
        <v>15.6</v>
      </c>
      <c r="J120" s="30">
        <v>13</v>
      </c>
    </row>
    <row r="121" spans="1:10" x14ac:dyDescent="0.25">
      <c r="A121" s="151"/>
      <c r="B121" s="151"/>
      <c r="C121" s="29" t="s">
        <v>15</v>
      </c>
      <c r="D121" s="31">
        <v>46.8</v>
      </c>
      <c r="E121" s="31">
        <v>35.1</v>
      </c>
      <c r="F121" s="31">
        <v>28.1</v>
      </c>
      <c r="G121" s="31">
        <v>23.4</v>
      </c>
      <c r="H121" s="31">
        <v>17.600000000000001</v>
      </c>
      <c r="I121" s="31">
        <v>14</v>
      </c>
      <c r="J121" s="31">
        <v>11.7</v>
      </c>
    </row>
    <row r="122" spans="1:10" x14ac:dyDescent="0.25">
      <c r="A122" s="149" t="s">
        <v>67</v>
      </c>
      <c r="B122" s="149" t="s">
        <v>91</v>
      </c>
      <c r="C122" s="28" t="s">
        <v>13</v>
      </c>
      <c r="D122" s="30">
        <v>69.099999999999994</v>
      </c>
      <c r="E122" s="30">
        <v>51.8</v>
      </c>
      <c r="F122" s="30">
        <v>41.5</v>
      </c>
      <c r="G122" s="30">
        <v>34.6</v>
      </c>
      <c r="H122" s="30">
        <v>25.9</v>
      </c>
      <c r="I122" s="30">
        <v>20.7</v>
      </c>
      <c r="J122" s="30">
        <v>17.3</v>
      </c>
    </row>
    <row r="123" spans="1:10" x14ac:dyDescent="0.25">
      <c r="A123" s="150"/>
      <c r="B123" s="150"/>
      <c r="C123" s="27" t="s">
        <v>14</v>
      </c>
      <c r="D123" s="30">
        <v>62.8</v>
      </c>
      <c r="E123" s="30">
        <v>47.1</v>
      </c>
      <c r="F123" s="30">
        <v>37.700000000000003</v>
      </c>
      <c r="G123" s="30">
        <v>31.4</v>
      </c>
      <c r="H123" s="30">
        <v>23.6</v>
      </c>
      <c r="I123" s="30">
        <v>18.899999999999999</v>
      </c>
      <c r="J123" s="30">
        <v>15.5</v>
      </c>
    </row>
    <row r="124" spans="1:10" x14ac:dyDescent="0.25">
      <c r="A124" s="151"/>
      <c r="B124" s="151"/>
      <c r="C124" s="29" t="s">
        <v>15</v>
      </c>
      <c r="D124" s="31">
        <v>56.6</v>
      </c>
      <c r="E124" s="31">
        <v>42.4</v>
      </c>
      <c r="F124" s="31">
        <v>33.9</v>
      </c>
      <c r="G124" s="31">
        <v>28.3</v>
      </c>
      <c r="H124" s="31">
        <v>21.2</v>
      </c>
      <c r="I124" s="31">
        <v>17</v>
      </c>
      <c r="J124" s="31">
        <v>14.1</v>
      </c>
    </row>
  </sheetData>
  <dataConsolidate/>
  <mergeCells count="50">
    <mergeCell ref="H3:H6"/>
    <mergeCell ref="C94:C97"/>
    <mergeCell ref="D96:D97"/>
    <mergeCell ref="E96:E97"/>
    <mergeCell ref="D94:J95"/>
    <mergeCell ref="A1:K1"/>
    <mergeCell ref="A4:A6"/>
    <mergeCell ref="A3:B3"/>
    <mergeCell ref="C3:C6"/>
    <mergeCell ref="D3:E3"/>
    <mergeCell ref="D4:D6"/>
    <mergeCell ref="E4:E6"/>
    <mergeCell ref="I3:K3"/>
    <mergeCell ref="I4:K4"/>
    <mergeCell ref="I5:I6"/>
    <mergeCell ref="J5:J6"/>
    <mergeCell ref="K5:K6"/>
    <mergeCell ref="B4:B6"/>
    <mergeCell ref="F4:F6"/>
    <mergeCell ref="F3:G3"/>
    <mergeCell ref="G4:G6"/>
    <mergeCell ref="A94:B94"/>
    <mergeCell ref="A119:A121"/>
    <mergeCell ref="B119:B121"/>
    <mergeCell ref="A122:A124"/>
    <mergeCell ref="B122:B124"/>
    <mergeCell ref="A107:A109"/>
    <mergeCell ref="B107:B109"/>
    <mergeCell ref="A110:A112"/>
    <mergeCell ref="B110:B112"/>
    <mergeCell ref="A113:A115"/>
    <mergeCell ref="B113:B115"/>
    <mergeCell ref="A95:A97"/>
    <mergeCell ref="B95:B97"/>
    <mergeCell ref="O1:V1"/>
    <mergeCell ref="E93:F93"/>
    <mergeCell ref="A92:J92"/>
    <mergeCell ref="A116:A118"/>
    <mergeCell ref="B116:B118"/>
    <mergeCell ref="A98:A100"/>
    <mergeCell ref="B98:B100"/>
    <mergeCell ref="A101:A103"/>
    <mergeCell ref="B101:B103"/>
    <mergeCell ref="A104:A106"/>
    <mergeCell ref="B104:B106"/>
    <mergeCell ref="F96:F97"/>
    <mergeCell ref="G96:G97"/>
    <mergeCell ref="H96:H97"/>
    <mergeCell ref="I96:I97"/>
    <mergeCell ref="J96:J97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Techos</vt:lpstr>
      <vt:lpstr>Viguetas</vt:lpstr>
      <vt:lpstr>Columnas</vt:lpstr>
      <vt:lpstr>Caracteristicas de Diseño</vt:lpstr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SAHEP PERÚ</dc:creator>
  <cp:lastModifiedBy>Alex Henrry Palomino Encinas</cp:lastModifiedBy>
  <cp:lastPrinted>2014-01-02T06:07:02Z</cp:lastPrinted>
  <dcterms:created xsi:type="dcterms:W3CDTF">2012-02-18T19:44:09Z</dcterms:created>
  <dcterms:modified xsi:type="dcterms:W3CDTF">2018-04-28T03:09:45Z</dcterms:modified>
</cp:coreProperties>
</file>